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Flight Plan" sheetId="1" r:id="rId1"/>
    <sheet name="Radio Data" sheetId="2" r:id="rId2"/>
    <sheet name="Place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O2" authorId="0">
      <text>
        <r>
          <rPr>
            <sz val="10"/>
            <rFont val="Arial"/>
            <family val="2"/>
          </rPr>
          <t>1 = Rhumb Line
0 = Great circle
Usually this is set to Rhumb Line.</t>
        </r>
      </text>
    </comment>
    <comment ref="U2" authorId="0">
      <text>
        <r>
          <rPr>
            <sz val="10"/>
            <rFont val="Arial"/>
            <family val="2"/>
          </rPr>
          <t>True air speed</t>
        </r>
      </text>
    </comment>
    <comment ref="N4" authorId="0">
      <text>
        <r>
          <rPr>
            <sz val="10"/>
            <rFont val="Arial"/>
            <family val="2"/>
          </rPr>
          <t>Wind 
Degrees | Speed</t>
        </r>
      </text>
    </comment>
    <comment ref="T4" authorId="0">
      <text>
        <r>
          <rPr>
            <sz val="10"/>
            <rFont val="Arial"/>
            <family val="2"/>
          </rPr>
          <t>This is the track as
drawn on a chart.
Track (Degrees True)</t>
        </r>
      </text>
    </comment>
    <comment ref="U4" authorId="0">
      <text>
        <r>
          <rPr>
            <sz val="10"/>
            <rFont val="Arial"/>
            <family val="2"/>
          </rPr>
          <t>Wind-corrected heading (Degrees True). This is
the track, corrected for wind as drawn on a
chart.</t>
        </r>
      </text>
    </comment>
    <comment ref="V4" authorId="0">
      <text>
        <r>
          <rPr>
            <sz val="10"/>
            <rFont val="Arial"/>
            <family val="2"/>
          </rPr>
          <t>Local magnetic variation (West is positive)</t>
        </r>
      </text>
    </comment>
    <comment ref="W4" authorId="0">
      <text>
        <r>
          <rPr>
            <sz val="10"/>
            <rFont val="Arial"/>
            <family val="2"/>
          </rPr>
          <t>Heading (Degrees Magnetic)</t>
        </r>
      </text>
    </comment>
    <comment ref="X4" authorId="0">
      <text>
        <r>
          <rPr>
            <sz val="10"/>
            <rFont val="Arial"/>
            <family val="2"/>
          </rPr>
          <t>Ground Speed</t>
        </r>
      </text>
    </comment>
    <comment ref="Z4" authorId="0">
      <text>
        <r>
          <rPr>
            <sz val="10"/>
            <rFont val="Arial"/>
            <family val="2"/>
          </rPr>
          <t>Estimated time en-route (Minutes)</t>
        </r>
      </text>
    </comment>
    <comment ref="AB4" authorId="0">
      <text>
        <r>
          <rPr>
            <sz val="10"/>
            <rFont val="Arial"/>
            <family val="2"/>
          </rPr>
          <t>Time you started on this leg.</t>
        </r>
      </text>
    </comment>
    <comment ref="AC4" authorId="0">
      <text>
        <r>
          <rPr>
            <sz val="10"/>
            <rFont val="Arial"/>
            <family val="2"/>
          </rPr>
          <t>Heading Corrected for Compass error.</t>
        </r>
      </text>
    </comment>
    <comment ref="AD4" authorId="0">
      <text>
        <r>
          <rPr>
            <sz val="10"/>
            <rFont val="Arial"/>
            <family val="2"/>
          </rPr>
          <t>Estimated Time of Arrival
Time Set Hdg + ETE</t>
        </r>
      </text>
    </comment>
    <comment ref="AE4" authorId="0">
      <text>
        <r>
          <rPr>
            <sz val="10"/>
            <rFont val="Arial"/>
            <family val="2"/>
          </rPr>
          <t>Revised time of Arrival</t>
        </r>
      </text>
    </comment>
    <comment ref="AF4" authorId="0">
      <text>
        <r>
          <rPr>
            <sz val="10"/>
            <rFont val="Arial"/>
            <family val="2"/>
          </rPr>
          <t>Actual Time of Arrival</t>
        </r>
      </text>
    </comment>
    <comment ref="AG4" authorId="0">
      <text>
        <r>
          <rPr>
            <sz val="10"/>
            <rFont val="Arial"/>
            <family val="2"/>
          </rPr>
          <t>Fuel, Radio, Engine, Direction, Altitude</t>
        </r>
      </text>
    </comment>
  </commentList>
</comments>
</file>

<file path=xl/sharedStrings.xml><?xml version="1.0" encoding="utf-8"?>
<sst xmlns="http://schemas.openxmlformats.org/spreadsheetml/2006/main" count="175" uniqueCount="155">
  <si>
    <t>VFR FLIGHT PLAN – Version 1.5</t>
  </si>
  <si>
    <t>RL=1
GC=0</t>
  </si>
  <si>
    <t>TAS :</t>
  </si>
  <si>
    <t>Heading || Time || Gross Error || Freda || ETA</t>
  </si>
  <si>
    <t>From</t>
  </si>
  <si>
    <t>To</t>
  </si>
  <si>
    <t>Safety
Altitude</t>
  </si>
  <si>
    <t>Planned
Altitude</t>
  </si>
  <si>
    <t>Frm
(N)</t>
  </si>
  <si>
    <t>Frm
(W)</t>
  </si>
  <si>
    <t>To
(N)</t>
  </si>
  <si>
    <t>To
(W)</t>
  </si>
  <si>
    <t>GC
Dist
(Rad)</t>
  </si>
  <si>
    <t>GC
Dir
(Rad)</t>
  </si>
  <si>
    <t>RL
Dist
(Rad)</t>
  </si>
  <si>
    <t>RL
Dir
(Rad)</t>
  </si>
  <si>
    <t>WIND</t>
  </si>
  <si>
    <t>Wind
Recip</t>
  </si>
  <si>
    <t>Wind – Trk
(RAD)</t>
  </si>
  <si>
    <t>WCA
(RAD)</t>
  </si>
  <si>
    <t>WCA
(DEG)</t>
  </si>
  <si>
    <t>Trk
(ºT)</t>
  </si>
  <si>
    <t>Hdg
(ºT)</t>
  </si>
  <si>
    <t>Var
(W)</t>
  </si>
  <si>
    <t>Hdg
(ºM)</t>
  </si>
  <si>
    <t>G/S</t>
  </si>
  <si>
    <t>Dist</t>
  </si>
  <si>
    <t>ETE</t>
  </si>
  <si>
    <t>Time
Set Hdg</t>
  </si>
  <si>
    <t>Hdc
©</t>
  </si>
  <si>
    <t>ETA</t>
  </si>
  <si>
    <t>RTA</t>
  </si>
  <si>
    <t>ATA</t>
  </si>
  <si>
    <t>FREDA
ERRORS</t>
  </si>
  <si>
    <t>Totals:</t>
  </si>
  <si>
    <t>Destination Airfield :</t>
  </si>
  <si>
    <t>Weather</t>
  </si>
  <si>
    <t>Radio Information</t>
  </si>
  <si>
    <t>Alt</t>
  </si>
  <si>
    <t>TEMP</t>
  </si>
  <si>
    <t>Airfield</t>
  </si>
  <si>
    <t>Departure</t>
  </si>
  <si>
    <t>Destination</t>
  </si>
  <si>
    <t>RW</t>
  </si>
  <si>
    <t>CIRCUIT</t>
  </si>
  <si>
    <t>Alternates</t>
  </si>
  <si>
    <t>Time</t>
  </si>
  <si>
    <t>QNH</t>
  </si>
  <si>
    <t>Initial Radio :</t>
  </si>
  <si>
    <t>ATIS:</t>
  </si>
  <si>
    <t>NOTES</t>
  </si>
  <si>
    <t>Station</t>
  </si>
  <si>
    <t>Type</t>
  </si>
  <si>
    <t>Freq</t>
  </si>
  <si>
    <t>Morse</t>
  </si>
  <si>
    <t>Fuel</t>
  </si>
  <si>
    <t>Consumption</t>
  </si>
  <si>
    <t>USG/h</t>
  </si>
  <si>
    <t>Taxi / T/O</t>
  </si>
  <si>
    <t>En route</t>
  </si>
  <si>
    <t>Reserve</t>
  </si>
  <si>
    <t>Total Fuel</t>
  </si>
  <si>
    <t>USG</t>
  </si>
  <si>
    <t>Takeoff Time:</t>
  </si>
  <si>
    <t>Morse Code</t>
  </si>
  <si>
    <t>Radio Stations Data</t>
  </si>
  <si>
    <t>Ident</t>
  </si>
  <si>
    <t>Morse Ident</t>
  </si>
  <si>
    <t>A</t>
  </si>
  <si>
    <t>.-</t>
  </si>
  <si>
    <t>BNN</t>
  </si>
  <si>
    <t>VOR</t>
  </si>
  <si>
    <t>B</t>
  </si>
  <si>
    <t>-...</t>
  </si>
  <si>
    <t>DENHAM</t>
  </si>
  <si>
    <t>AFIS</t>
  </si>
  <si>
    <t>C</t>
  </si>
  <si>
    <t>-.-.</t>
  </si>
  <si>
    <t>CFD</t>
  </si>
  <si>
    <t>D</t>
  </si>
  <si>
    <t>-..</t>
  </si>
  <si>
    <t>BENSON</t>
  </si>
  <si>
    <t>MATZ</t>
  </si>
  <si>
    <t>E</t>
  </si>
  <si>
    <t>.</t>
  </si>
  <si>
    <t>OXFORD TWR</t>
  </si>
  <si>
    <t>TWR</t>
  </si>
  <si>
    <t>F</t>
  </si>
  <si>
    <t>..-.</t>
  </si>
  <si>
    <t>OXFORD APP</t>
  </si>
  <si>
    <t>APP</t>
  </si>
  <si>
    <t>G</t>
  </si>
  <si>
    <t>--.</t>
  </si>
  <si>
    <t>TURWESTON</t>
  </si>
  <si>
    <t>A/G</t>
  </si>
  <si>
    <t>H</t>
  </si>
  <si>
    <t>....</t>
  </si>
  <si>
    <t>OXFORD GND</t>
  </si>
  <si>
    <t>GND</t>
  </si>
  <si>
    <t>I</t>
  </si>
  <si>
    <t>..</t>
  </si>
  <si>
    <t>OXFORD ATIS</t>
  </si>
  <si>
    <t>ATIS</t>
  </si>
  <si>
    <t>J</t>
  </si>
  <si>
    <t>.---</t>
  </si>
  <si>
    <t>DTY</t>
  </si>
  <si>
    <t>K</t>
  </si>
  <si>
    <t>-.-</t>
  </si>
  <si>
    <t>L</t>
  </si>
  <si>
    <t>.-..</t>
  </si>
  <si>
    <t>M</t>
  </si>
  <si>
    <t>--</t>
  </si>
  <si>
    <t>N</t>
  </si>
  <si>
    <t>-.</t>
  </si>
  <si>
    <t>O</t>
  </si>
  <si>
    <t>---</t>
  </si>
  <si>
    <t>P</t>
  </si>
  <si>
    <t>.--.</t>
  </si>
  <si>
    <t>Q</t>
  </si>
  <si>
    <t>--.-</t>
  </si>
  <si>
    <t>R</t>
  </si>
  <si>
    <t>.-.</t>
  </si>
  <si>
    <t>S</t>
  </si>
  <si>
    <t>...</t>
  </si>
  <si>
    <t>T</t>
  </si>
  <si>
    <t>-</t>
  </si>
  <si>
    <t>U</t>
  </si>
  <si>
    <t>..-</t>
  </si>
  <si>
    <t>V</t>
  </si>
  <si>
    <t>...-</t>
  </si>
  <si>
    <t>W</t>
  </si>
  <si>
    <t>.--</t>
  </si>
  <si>
    <t>X</t>
  </si>
  <si>
    <t>-..-</t>
  </si>
  <si>
    <t>Y</t>
  </si>
  <si>
    <t>-.--</t>
  </si>
  <si>
    <t>Z</t>
  </si>
  <si>
    <t>--..</t>
  </si>
  <si>
    <t>Position</t>
  </si>
  <si>
    <t>Latitude (ºN)</t>
  </si>
  <si>
    <t>Longitude (ºW)</t>
  </si>
  <si>
    <t>Lookup</t>
  </si>
  <si>
    <t>º</t>
  </si>
  <si>
    <t>ºN (Rad)</t>
  </si>
  <si>
    <t>ºW (Rad)</t>
  </si>
  <si>
    <t>TOWN</t>
  </si>
  <si>
    <t>PRINCESS RISBOROUGH</t>
  </si>
  <si>
    <t>A/D</t>
  </si>
  <si>
    <t>LITTLE HORWOOD</t>
  </si>
  <si>
    <t>SILVERSTONE</t>
  </si>
  <si>
    <t>VRP</t>
  </si>
  <si>
    <t>ST GILES</t>
  </si>
  <si>
    <t>MAPLE CROSS</t>
  </si>
  <si>
    <t>TEST</t>
  </si>
  <si>
    <t>© 2005-2011 http:// paulbanks . Org /.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</si>
</sst>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&quot; kts&quot;"/>
    <numFmt numFmtId="165" formatCode="000"/>
    <numFmt numFmtId="166" formatCode="00"/>
    <numFmt numFmtId="167" formatCode="\+0;\-0;0"/>
    <numFmt numFmtId="168" formatCode="0.#"/>
    <numFmt numFmtId="169" formatCode="0&quot; ft&quot;"/>
    <numFmt numFmtId="170" formatCode="#.000"/>
    <numFmt numFmtId="171" formatCode="0.###"/>
    <numFmt numFmtId="172" formatCode="0.0"/>
    <numFmt numFmtId="173" formatCode="&quot;X &quot;0.0"/>
    <numFmt numFmtId="174" formatCode="0&quot;min / TO&quot;"/>
    <numFmt numFmtId="175" formatCode="0&quot; hour(s)&quot;"/>
    <numFmt numFmtId="176" formatCode="0.000"/>
    <numFmt numFmtId="177" formatCode="0.000000"/>
  </numFmts>
  <fonts count="50">
    <font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sz val="11"/>
      <color indexed="8"/>
      <name val="Tahoma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 wrapText="1"/>
      <protection/>
    </xf>
    <xf numFmtId="1" fontId="0" fillId="0" borderId="1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textRotation="135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12" xfId="0" applyNumberFormat="1" applyFont="1" applyFill="1" applyBorder="1" applyAlignment="1">
      <alignment/>
    </xf>
    <xf numFmtId="0" fontId="11" fillId="35" borderId="12" xfId="0" applyNumberFormat="1" applyFont="1" applyFill="1" applyBorder="1" applyAlignment="1">
      <alignment horizontal="left"/>
    </xf>
    <xf numFmtId="165" fontId="10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5" fontId="10" fillId="36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ont="1" applyAlignment="1">
      <alignment horizontal="right"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 horizontal="left"/>
    </xf>
    <xf numFmtId="170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173" fontId="0" fillId="0" borderId="12" xfId="0" applyNumberFormat="1" applyFont="1" applyFill="1" applyBorder="1" applyAlignment="1">
      <alignment horizontal="left"/>
    </xf>
    <xf numFmtId="17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176" fontId="0" fillId="0" borderId="0" xfId="0" applyNumberFormat="1" applyAlignment="1">
      <alignment/>
    </xf>
    <xf numFmtId="0" fontId="0" fillId="39" borderId="0" xfId="0" applyFill="1" applyAlignment="1">
      <alignment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/>
    </xf>
    <xf numFmtId="0" fontId="0" fillId="40" borderId="0" xfId="0" applyFont="1" applyFill="1" applyAlignment="1">
      <alignment/>
    </xf>
    <xf numFmtId="170" fontId="0" fillId="40" borderId="0" xfId="0" applyNumberFormat="1" applyFill="1" applyAlignment="1">
      <alignment/>
    </xf>
    <xf numFmtId="0" fontId="14" fillId="40" borderId="0" xfId="0" applyFont="1" applyFill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6" borderId="0" xfId="0" applyFill="1" applyAlignment="1">
      <alignment/>
    </xf>
    <xf numFmtId="177" fontId="0" fillId="0" borderId="0" xfId="0" applyNumberFormat="1" applyAlignment="1">
      <alignment/>
    </xf>
    <xf numFmtId="0" fontId="1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77" fontId="15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textRotation="18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69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 vertical="center"/>
    </xf>
    <xf numFmtId="169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172" fontId="0" fillId="41" borderId="14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B5" sqref="B5"/>
    </sheetView>
  </sheetViews>
  <sheetFormatPr defaultColWidth="11.57421875" defaultRowHeight="12.75"/>
  <cols>
    <col min="1" max="1" width="2.8515625" style="0" customWidth="1"/>
    <col min="2" max="5" width="11.57421875" style="0" customWidth="1"/>
    <col min="6" max="9" width="0" style="0" hidden="1" customWidth="1"/>
    <col min="10" max="10" width="0" style="1" hidden="1" customWidth="1"/>
    <col min="11" max="13" width="0" style="0" hidden="1" customWidth="1"/>
    <col min="14" max="14" width="5.140625" style="0" customWidth="1"/>
    <col min="15" max="15" width="4.28125" style="0" customWidth="1"/>
    <col min="16" max="19" width="0" style="0" hidden="1" customWidth="1"/>
    <col min="20" max="23" width="5.140625" style="0" customWidth="1"/>
    <col min="24" max="26" width="6.421875" style="0" customWidth="1"/>
    <col min="27" max="27" width="1.57421875" style="0" customWidth="1"/>
    <col min="28" max="28" width="9.00390625" style="0" customWidth="1"/>
    <col min="29" max="29" width="6.421875" style="0" customWidth="1"/>
    <col min="30" max="30" width="5.8515625" style="0" customWidth="1"/>
    <col min="31" max="32" width="5.28125" style="0" customWidth="1"/>
    <col min="33" max="33" width="9.00390625" style="0" customWidth="1"/>
  </cols>
  <sheetData>
    <row r="1" spans="28:33" ht="12.75">
      <c r="AB1" s="2"/>
      <c r="AC1" s="2"/>
      <c r="AD1" s="2"/>
      <c r="AE1" s="2"/>
      <c r="AF1" s="2"/>
      <c r="AG1" s="2"/>
    </row>
    <row r="2" spans="2:33" ht="18">
      <c r="B2" s="3" t="s">
        <v>0</v>
      </c>
      <c r="N2" s="4" t="s">
        <v>1</v>
      </c>
      <c r="O2" s="5">
        <v>1</v>
      </c>
      <c r="P2" s="6"/>
      <c r="Q2" s="6"/>
      <c r="R2" s="6"/>
      <c r="S2" s="6"/>
      <c r="T2" s="7" t="s">
        <v>2</v>
      </c>
      <c r="U2" s="71"/>
      <c r="V2" s="71"/>
      <c r="X2" s="72" t="s">
        <v>3</v>
      </c>
      <c r="Y2" s="72"/>
      <c r="Z2" s="72"/>
      <c r="AA2" s="72"/>
      <c r="AB2" s="72"/>
      <c r="AC2" s="72"/>
      <c r="AD2" s="72"/>
      <c r="AE2" s="72"/>
      <c r="AF2" s="72"/>
      <c r="AG2" s="2"/>
    </row>
    <row r="3" spans="28:33" ht="9.75" customHeight="1">
      <c r="AB3" s="2"/>
      <c r="AC3" s="2"/>
      <c r="AD3" s="2"/>
      <c r="AE3" s="2"/>
      <c r="AF3" s="2"/>
      <c r="AG3" s="2"/>
    </row>
    <row r="4" spans="2:33" ht="31.5" customHeight="1"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0" t="s">
        <v>13</v>
      </c>
      <c r="L4" s="10" t="s">
        <v>14</v>
      </c>
      <c r="M4" s="10" t="s">
        <v>15</v>
      </c>
      <c r="N4" s="86" t="s">
        <v>16</v>
      </c>
      <c r="O4" s="86"/>
      <c r="P4" s="12" t="s">
        <v>17</v>
      </c>
      <c r="Q4" s="13" t="s">
        <v>18</v>
      </c>
      <c r="R4" s="12" t="s">
        <v>19</v>
      </c>
      <c r="S4" s="12" t="s">
        <v>20</v>
      </c>
      <c r="T4" s="9" t="s">
        <v>21</v>
      </c>
      <c r="U4" s="9" t="s">
        <v>22</v>
      </c>
      <c r="V4" s="9" t="s">
        <v>23</v>
      </c>
      <c r="W4" s="14" t="s">
        <v>24</v>
      </c>
      <c r="X4" s="8" t="s">
        <v>25</v>
      </c>
      <c r="Y4" s="8" t="s">
        <v>26</v>
      </c>
      <c r="Z4" s="15" t="s">
        <v>27</v>
      </c>
      <c r="AA4" s="16"/>
      <c r="AB4" s="9" t="s">
        <v>28</v>
      </c>
      <c r="AC4" s="9" t="s">
        <v>29</v>
      </c>
      <c r="AD4" s="8" t="s">
        <v>30</v>
      </c>
      <c r="AE4" s="8" t="s">
        <v>31</v>
      </c>
      <c r="AF4" s="8" t="s">
        <v>32</v>
      </c>
      <c r="AG4" s="17" t="s">
        <v>33</v>
      </c>
    </row>
    <row r="5" spans="1:33" ht="19.5" customHeight="1">
      <c r="A5">
        <v>1</v>
      </c>
      <c r="B5" s="18"/>
      <c r="C5" s="18"/>
      <c r="D5" s="19"/>
      <c r="E5" s="19">
        <f aca="true" t="shared" si="0" ref="E5:E14">IF(D5&lt;&gt;"",D5+100,"")</f>
      </c>
      <c r="F5" s="19" t="e">
        <f>VLOOKUP(B5,Places!$B$5:$K$30,9,0)</f>
        <v>#N/A</v>
      </c>
      <c r="G5" s="19" t="e">
        <f>VLOOKUP(B5,Places!$B$5:$K$30,10,0)</f>
        <v>#N/A</v>
      </c>
      <c r="H5" s="19" t="e">
        <f>VLOOKUP(C5,Places!$B$5:$K$30,9,0)</f>
        <v>#N/A</v>
      </c>
      <c r="I5" s="19" t="e">
        <f>VLOOKUP(C5,Places!$B$5:$K$30,10,0)</f>
        <v>#N/A</v>
      </c>
      <c r="J5" s="20" t="e">
        <f aca="true" t="shared" si="1" ref="J5:J14">2*ASIN(SQRT((SIN((F5-H5)/2))^2+COS(F5)*COS(H5)*(SIN((G5-I5)/2))^2))</f>
        <v>#N/A</v>
      </c>
      <c r="K5" s="19" t="e">
        <f aca="true" t="shared" si="2" ref="K5:K14">ABS(IF(SIN(I5-G5)&lt;0,0,RADIANS(360))-ACOS((SIN(H5)-SIN(F5)*COS(J5))/(SIN(J5)*COS(F5))))</f>
        <v>#N/A</v>
      </c>
      <c r="L5" s="19" t="e">
        <f aca="true" t="shared" si="3" ref="L5:L14">SQRT(IF(ABS(H5-F5)&lt;0.00000001,COS(F5),(H5-F5)/(LN(TAN(H5/2+PI()/4)/TAN(F5/2+PI()/4))))^2*IF(MOD(I5-G5,2*PI())&lt;MOD(G5-I5,2*PI()),MOD(I5-G5,2*PI()),MOD(G5-I5,2*PI()))^2+(H5-F5)^2)</f>
        <v>#N/A</v>
      </c>
      <c r="M5" s="19" t="e">
        <f aca="true" t="shared" si="4" ref="M5:M14">MOD(ATAN2(LN(TAN(H5/2+PI()/4)/TAN(F5/2+PI()/4)),IF(MOD(I5-G5,2*PI())&lt;MOD(G5-I5,2*PI()),-MOD(I5-G5,2*PI()),MOD(G5-I5,2*PI()))),2*PI())</f>
        <v>#N/A</v>
      </c>
      <c r="N5" s="21">
        <f aca="true" t="shared" si="5" ref="N5:N14">IF(E5&lt;&gt;"",IF(V$18&lt;&gt;"",V$18,""),"")</f>
      </c>
      <c r="O5" s="22">
        <f aca="true" t="shared" si="6" ref="O5:O14">IF(N5&lt;&gt;"",IF(W$18&lt;&gt;"",W$18,""),"")</f>
      </c>
      <c r="P5" s="23" t="e">
        <f aca="true" t="shared" si="7" ref="P5:P14">IF(N5+180&gt;359,N5+180-360,N5+180)</f>
        <v>#VALUE!</v>
      </c>
      <c r="Q5" s="24" t="e">
        <f aca="true" t="shared" si="8" ref="Q5:Q14">RADIANS(IF(T5-P5&lt;0,T5-P5+360,T5-P5))</f>
        <v>#VALUE!</v>
      </c>
      <c r="R5" s="24" t="e">
        <f aca="true" t="shared" si="9" ref="R5:R14">(ASIN(O5*SIN(Q5)/$U$2))</f>
        <v>#VALUE!</v>
      </c>
      <c r="S5" s="25" t="e">
        <f aca="true" t="shared" si="10" ref="S5:S14">DEGREES(R5)</f>
        <v>#VALUE!</v>
      </c>
      <c r="T5" s="26">
        <f aca="true" t="shared" si="11" ref="T5:T14">IF(NOT(ISERROR(K5)),DEGREES(IF($O$2=0,K5,M5)),"")</f>
      </c>
      <c r="U5" s="26">
        <f aca="true" t="shared" si="12" ref="U5:U14">IF(N5&lt;&gt;"",IF($U$2&lt;&gt;"",IF(T5+S5&gt;360,T5+S5-360,IF(T5+S5&lt;0,T5+S5+360,T5+S5)),""),"")</f>
      </c>
      <c r="V5" s="27"/>
      <c r="W5" s="28">
        <f aca="true" t="shared" si="13" ref="W5:W14">IF(U5&lt;&gt;"",IF((U5+V5)&gt;360,(U5+V5)-360,(U5+V5)),"")</f>
      </c>
      <c r="X5" s="29">
        <f aca="true" t="shared" si="14" ref="X5:X14">IF(N5&lt;&gt;"",IF($U$2&lt;&gt;"",$U$2*COS(R5)+O5*COS(Q5),""),"")</f>
      </c>
      <c r="Y5" s="30">
        <f aca="true" t="shared" si="15" ref="Y5:Y14">IF(NOT(ISERROR(J5)),DEGREES(IF($O$2=0,J5,L5))*60,"")</f>
      </c>
      <c r="Z5" s="31">
        <f aca="true" t="shared" si="16" ref="Z5:Z14">IF(X5&lt;&gt;"",(Y5/X5)*60,"")</f>
      </c>
      <c r="AA5" s="32"/>
      <c r="AB5" s="19"/>
      <c r="AC5" s="19"/>
      <c r="AD5" s="19"/>
      <c r="AE5" s="19"/>
      <c r="AF5" s="19"/>
      <c r="AG5" s="19"/>
    </row>
    <row r="6" spans="1:33" ht="19.5" customHeight="1">
      <c r="A6">
        <v>2</v>
      </c>
      <c r="B6" s="18">
        <f aca="true" t="shared" si="17" ref="B6:B14">IF(C5&lt;&gt;"",C5,"")</f>
      </c>
      <c r="C6" s="18"/>
      <c r="D6" s="19"/>
      <c r="E6" s="19">
        <f t="shared" si="0"/>
      </c>
      <c r="F6" s="19" t="e">
        <f>VLOOKUP(B6,Places!$B$5:$K$30,9,0)</f>
        <v>#N/A</v>
      </c>
      <c r="G6" s="19" t="e">
        <f>VLOOKUP(B6,Places!$B$5:$K$30,10,0)</f>
        <v>#N/A</v>
      </c>
      <c r="H6" s="19" t="e">
        <f>VLOOKUP(C6,Places!$B$5:$K$30,9,0)</f>
        <v>#N/A</v>
      </c>
      <c r="I6" s="19" t="e">
        <f>VLOOKUP(C6,Places!$B$5:$K$30,10,0)</f>
        <v>#N/A</v>
      </c>
      <c r="J6" s="20" t="e">
        <f t="shared" si="1"/>
        <v>#N/A</v>
      </c>
      <c r="K6" s="19" t="e">
        <f t="shared" si="2"/>
        <v>#N/A</v>
      </c>
      <c r="L6" s="19" t="e">
        <f t="shared" si="3"/>
        <v>#N/A</v>
      </c>
      <c r="M6" s="19" t="e">
        <f t="shared" si="4"/>
        <v>#N/A</v>
      </c>
      <c r="N6" s="21">
        <f t="shared" si="5"/>
      </c>
      <c r="O6" s="22">
        <f t="shared" si="6"/>
      </c>
      <c r="P6" s="23" t="e">
        <f t="shared" si="7"/>
        <v>#VALUE!</v>
      </c>
      <c r="Q6" s="24" t="e">
        <f t="shared" si="8"/>
        <v>#VALUE!</v>
      </c>
      <c r="R6" s="24" t="e">
        <f t="shared" si="9"/>
        <v>#VALUE!</v>
      </c>
      <c r="S6" s="25" t="e">
        <f t="shared" si="10"/>
        <v>#VALUE!</v>
      </c>
      <c r="T6" s="26">
        <f t="shared" si="11"/>
      </c>
      <c r="U6" s="26">
        <f t="shared" si="12"/>
      </c>
      <c r="V6" s="27"/>
      <c r="W6" s="28">
        <f t="shared" si="13"/>
      </c>
      <c r="X6" s="29">
        <f t="shared" si="14"/>
      </c>
      <c r="Y6" s="30">
        <f t="shared" si="15"/>
      </c>
      <c r="Z6" s="31">
        <f t="shared" si="16"/>
      </c>
      <c r="AA6" s="32"/>
      <c r="AB6" s="19"/>
      <c r="AC6" s="19"/>
      <c r="AD6" s="19"/>
      <c r="AE6" s="19"/>
      <c r="AF6" s="19"/>
      <c r="AG6" s="19"/>
    </row>
    <row r="7" spans="1:33" ht="19.5" customHeight="1">
      <c r="A7">
        <v>3</v>
      </c>
      <c r="B7" s="18">
        <f t="shared" si="17"/>
      </c>
      <c r="C7" s="18"/>
      <c r="D7" s="19"/>
      <c r="E7" s="19">
        <f t="shared" si="0"/>
      </c>
      <c r="F7" s="19" t="e">
        <f>VLOOKUP(B7,Places!$B$5:$K$30,9,0)</f>
        <v>#N/A</v>
      </c>
      <c r="G7" s="19" t="e">
        <f>VLOOKUP(B7,Places!$B$5:$K$30,10,0)</f>
        <v>#N/A</v>
      </c>
      <c r="H7" s="19" t="e">
        <f>VLOOKUP(C7,Places!$B$5:$K$30,9,0)</f>
        <v>#N/A</v>
      </c>
      <c r="I7" s="19" t="e">
        <f>VLOOKUP(C7,Places!$B$5:$K$30,10,0)</f>
        <v>#N/A</v>
      </c>
      <c r="J7" s="20" t="e">
        <f t="shared" si="1"/>
        <v>#N/A</v>
      </c>
      <c r="K7" s="19" t="e">
        <f t="shared" si="2"/>
        <v>#N/A</v>
      </c>
      <c r="L7" s="19" t="e">
        <f t="shared" si="3"/>
        <v>#N/A</v>
      </c>
      <c r="M7" s="19" t="e">
        <f t="shared" si="4"/>
        <v>#N/A</v>
      </c>
      <c r="N7" s="21">
        <f t="shared" si="5"/>
      </c>
      <c r="O7" s="22">
        <f t="shared" si="6"/>
      </c>
      <c r="P7" s="23" t="e">
        <f t="shared" si="7"/>
        <v>#VALUE!</v>
      </c>
      <c r="Q7" s="24" t="e">
        <f t="shared" si="8"/>
        <v>#VALUE!</v>
      </c>
      <c r="R7" s="24" t="e">
        <f t="shared" si="9"/>
        <v>#VALUE!</v>
      </c>
      <c r="S7" s="25" t="e">
        <f t="shared" si="10"/>
        <v>#VALUE!</v>
      </c>
      <c r="T7" s="26">
        <f t="shared" si="11"/>
      </c>
      <c r="U7" s="26">
        <f t="shared" si="12"/>
      </c>
      <c r="V7" s="27"/>
      <c r="W7" s="28">
        <f t="shared" si="13"/>
      </c>
      <c r="X7" s="29">
        <f t="shared" si="14"/>
      </c>
      <c r="Y7" s="30">
        <f t="shared" si="15"/>
      </c>
      <c r="Z7" s="31">
        <f t="shared" si="16"/>
      </c>
      <c r="AA7" s="32"/>
      <c r="AB7" s="19"/>
      <c r="AC7" s="19"/>
      <c r="AD7" s="19"/>
      <c r="AE7" s="19"/>
      <c r="AF7" s="19"/>
      <c r="AG7" s="19"/>
    </row>
    <row r="8" spans="1:33" ht="19.5" customHeight="1">
      <c r="A8">
        <v>4</v>
      </c>
      <c r="B8" s="18">
        <f t="shared" si="17"/>
      </c>
      <c r="C8" s="18"/>
      <c r="D8" s="19"/>
      <c r="E8" s="19">
        <f t="shared" si="0"/>
      </c>
      <c r="F8" s="19" t="e">
        <f>VLOOKUP(B8,Places!$B$5:$K$30,9,0)</f>
        <v>#N/A</v>
      </c>
      <c r="G8" s="19" t="e">
        <f>VLOOKUP(B8,Places!$B$5:$K$30,10,0)</f>
        <v>#N/A</v>
      </c>
      <c r="H8" s="19" t="e">
        <f>VLOOKUP(C8,Places!$B$5:$K$30,9,0)</f>
        <v>#N/A</v>
      </c>
      <c r="I8" s="19" t="e">
        <f>VLOOKUP(C8,Places!$B$5:$K$30,10,0)</f>
        <v>#N/A</v>
      </c>
      <c r="J8" s="20" t="e">
        <f t="shared" si="1"/>
        <v>#N/A</v>
      </c>
      <c r="K8" s="19" t="e">
        <f t="shared" si="2"/>
        <v>#N/A</v>
      </c>
      <c r="L8" s="19" t="e">
        <f t="shared" si="3"/>
        <v>#N/A</v>
      </c>
      <c r="M8" s="19" t="e">
        <f t="shared" si="4"/>
        <v>#N/A</v>
      </c>
      <c r="N8" s="21">
        <f t="shared" si="5"/>
      </c>
      <c r="O8" s="22">
        <f t="shared" si="6"/>
      </c>
      <c r="P8" s="23" t="e">
        <f t="shared" si="7"/>
        <v>#VALUE!</v>
      </c>
      <c r="Q8" s="24" t="e">
        <f t="shared" si="8"/>
        <v>#VALUE!</v>
      </c>
      <c r="R8" s="24" t="e">
        <f t="shared" si="9"/>
        <v>#VALUE!</v>
      </c>
      <c r="S8" s="25" t="e">
        <f t="shared" si="10"/>
        <v>#VALUE!</v>
      </c>
      <c r="T8" s="26">
        <f t="shared" si="11"/>
      </c>
      <c r="U8" s="26">
        <f t="shared" si="12"/>
      </c>
      <c r="V8" s="27"/>
      <c r="W8" s="28">
        <f t="shared" si="13"/>
      </c>
      <c r="X8" s="29">
        <f t="shared" si="14"/>
      </c>
      <c r="Y8" s="30">
        <f t="shared" si="15"/>
      </c>
      <c r="Z8" s="31">
        <f t="shared" si="16"/>
      </c>
      <c r="AA8" s="32"/>
      <c r="AB8" s="19"/>
      <c r="AC8" s="19"/>
      <c r="AD8" s="19"/>
      <c r="AE8" s="19"/>
      <c r="AF8" s="19"/>
      <c r="AG8" s="19"/>
    </row>
    <row r="9" spans="1:33" ht="19.5" customHeight="1">
      <c r="A9">
        <v>5</v>
      </c>
      <c r="B9" s="18">
        <f t="shared" si="17"/>
      </c>
      <c r="C9" s="18"/>
      <c r="D9" s="19"/>
      <c r="E9" s="19">
        <f t="shared" si="0"/>
      </c>
      <c r="F9" s="19" t="e">
        <f>VLOOKUP(B9,Places!$B$5:$K$30,9,0)</f>
        <v>#N/A</v>
      </c>
      <c r="G9" s="19" t="e">
        <f>VLOOKUP(B9,Places!$B$5:$K$30,10,0)</f>
        <v>#N/A</v>
      </c>
      <c r="H9" s="19" t="e">
        <f>VLOOKUP(C9,Places!$B$5:$K$30,9,0)</f>
        <v>#N/A</v>
      </c>
      <c r="I9" s="19" t="e">
        <f>VLOOKUP(C9,Places!$B$5:$K$30,10,0)</f>
        <v>#N/A</v>
      </c>
      <c r="J9" s="20" t="e">
        <f t="shared" si="1"/>
        <v>#N/A</v>
      </c>
      <c r="K9" s="19" t="e">
        <f t="shared" si="2"/>
        <v>#N/A</v>
      </c>
      <c r="L9" s="19" t="e">
        <f t="shared" si="3"/>
        <v>#N/A</v>
      </c>
      <c r="M9" s="19" t="e">
        <f t="shared" si="4"/>
        <v>#N/A</v>
      </c>
      <c r="N9" s="21">
        <f t="shared" si="5"/>
      </c>
      <c r="O9" s="22">
        <f t="shared" si="6"/>
      </c>
      <c r="P9" s="23" t="e">
        <f t="shared" si="7"/>
        <v>#VALUE!</v>
      </c>
      <c r="Q9" s="24" t="e">
        <f t="shared" si="8"/>
        <v>#VALUE!</v>
      </c>
      <c r="R9" s="24" t="e">
        <f t="shared" si="9"/>
        <v>#VALUE!</v>
      </c>
      <c r="S9" s="25" t="e">
        <f t="shared" si="10"/>
        <v>#VALUE!</v>
      </c>
      <c r="T9" s="26">
        <f t="shared" si="11"/>
      </c>
      <c r="U9" s="26">
        <f t="shared" si="12"/>
      </c>
      <c r="V9" s="27"/>
      <c r="W9" s="28">
        <f t="shared" si="13"/>
      </c>
      <c r="X9" s="29">
        <f t="shared" si="14"/>
      </c>
      <c r="Y9" s="30">
        <f t="shared" si="15"/>
      </c>
      <c r="Z9" s="31">
        <f t="shared" si="16"/>
      </c>
      <c r="AA9" s="32"/>
      <c r="AB9" s="19"/>
      <c r="AC9" s="19"/>
      <c r="AD9" s="19"/>
      <c r="AE9" s="19"/>
      <c r="AF9" s="19"/>
      <c r="AG9" s="19"/>
    </row>
    <row r="10" spans="1:33" ht="19.5" customHeight="1">
      <c r="A10">
        <v>6</v>
      </c>
      <c r="B10" s="18">
        <f t="shared" si="17"/>
      </c>
      <c r="C10" s="18"/>
      <c r="D10" s="19"/>
      <c r="E10" s="19">
        <f t="shared" si="0"/>
      </c>
      <c r="F10" s="19" t="e">
        <f>VLOOKUP(B10,Places!$B$5:$K$30,9,0)</f>
        <v>#N/A</v>
      </c>
      <c r="G10" s="19" t="e">
        <f>VLOOKUP(B10,Places!$B$5:$K$30,10,0)</f>
        <v>#N/A</v>
      </c>
      <c r="H10" s="19" t="e">
        <f>VLOOKUP(C10,Places!$B$5:$K$30,9,0)</f>
        <v>#N/A</v>
      </c>
      <c r="I10" s="19" t="e">
        <f>VLOOKUP(C10,Places!$B$5:$K$30,10,0)</f>
        <v>#N/A</v>
      </c>
      <c r="J10" s="20" t="e">
        <f t="shared" si="1"/>
        <v>#N/A</v>
      </c>
      <c r="K10" s="19" t="e">
        <f t="shared" si="2"/>
        <v>#N/A</v>
      </c>
      <c r="L10" s="19" t="e">
        <f t="shared" si="3"/>
        <v>#N/A</v>
      </c>
      <c r="M10" s="19" t="e">
        <f t="shared" si="4"/>
        <v>#N/A</v>
      </c>
      <c r="N10" s="21">
        <f t="shared" si="5"/>
      </c>
      <c r="O10" s="22">
        <f t="shared" si="6"/>
      </c>
      <c r="P10" s="23" t="e">
        <f t="shared" si="7"/>
        <v>#VALUE!</v>
      </c>
      <c r="Q10" s="24" t="e">
        <f t="shared" si="8"/>
        <v>#VALUE!</v>
      </c>
      <c r="R10" s="24" t="e">
        <f t="shared" si="9"/>
        <v>#VALUE!</v>
      </c>
      <c r="S10" s="25" t="e">
        <f t="shared" si="10"/>
        <v>#VALUE!</v>
      </c>
      <c r="T10" s="26">
        <f t="shared" si="11"/>
      </c>
      <c r="U10" s="26">
        <f t="shared" si="12"/>
      </c>
      <c r="V10" s="27"/>
      <c r="W10" s="28">
        <f t="shared" si="13"/>
      </c>
      <c r="X10" s="29">
        <f t="shared" si="14"/>
      </c>
      <c r="Y10" s="30">
        <f t="shared" si="15"/>
      </c>
      <c r="Z10" s="31">
        <f t="shared" si="16"/>
      </c>
      <c r="AA10" s="32"/>
      <c r="AB10" s="19"/>
      <c r="AC10" s="19"/>
      <c r="AD10" s="19"/>
      <c r="AE10" s="19"/>
      <c r="AF10" s="19"/>
      <c r="AG10" s="19"/>
    </row>
    <row r="11" spans="1:33" ht="19.5" customHeight="1">
      <c r="A11">
        <v>7</v>
      </c>
      <c r="B11" s="18">
        <f t="shared" si="17"/>
      </c>
      <c r="C11" s="18"/>
      <c r="D11" s="19"/>
      <c r="E11" s="19">
        <f t="shared" si="0"/>
      </c>
      <c r="F11" s="19" t="e">
        <f>VLOOKUP(B11,Places!$B$5:$K$30,9,0)</f>
        <v>#N/A</v>
      </c>
      <c r="G11" s="19" t="e">
        <f>VLOOKUP(B11,Places!$B$5:$K$30,10,0)</f>
        <v>#N/A</v>
      </c>
      <c r="H11" s="19" t="e">
        <f>VLOOKUP(C11,Places!$B$5:$K$30,9,0)</f>
        <v>#N/A</v>
      </c>
      <c r="I11" s="19" t="e">
        <f>VLOOKUP(C11,Places!$B$5:$K$30,10,0)</f>
        <v>#N/A</v>
      </c>
      <c r="J11" s="20" t="e">
        <f t="shared" si="1"/>
        <v>#N/A</v>
      </c>
      <c r="K11" s="19" t="e">
        <f t="shared" si="2"/>
        <v>#N/A</v>
      </c>
      <c r="L11" s="19" t="e">
        <f t="shared" si="3"/>
        <v>#N/A</v>
      </c>
      <c r="M11" s="19" t="e">
        <f t="shared" si="4"/>
        <v>#N/A</v>
      </c>
      <c r="N11" s="21">
        <f t="shared" si="5"/>
      </c>
      <c r="O11" s="22">
        <f t="shared" si="6"/>
      </c>
      <c r="P11" s="23" t="e">
        <f t="shared" si="7"/>
        <v>#VALUE!</v>
      </c>
      <c r="Q11" s="24" t="e">
        <f t="shared" si="8"/>
        <v>#VALUE!</v>
      </c>
      <c r="R11" s="24" t="e">
        <f t="shared" si="9"/>
        <v>#VALUE!</v>
      </c>
      <c r="S11" s="25" t="e">
        <f t="shared" si="10"/>
        <v>#VALUE!</v>
      </c>
      <c r="T11" s="26">
        <f t="shared" si="11"/>
      </c>
      <c r="U11" s="26">
        <f t="shared" si="12"/>
      </c>
      <c r="V11" s="27"/>
      <c r="W11" s="28">
        <f t="shared" si="13"/>
      </c>
      <c r="X11" s="29">
        <f t="shared" si="14"/>
      </c>
      <c r="Y11" s="30">
        <f t="shared" si="15"/>
      </c>
      <c r="Z11" s="31">
        <f t="shared" si="16"/>
      </c>
      <c r="AA11" s="32"/>
      <c r="AB11" s="19"/>
      <c r="AC11" s="19"/>
      <c r="AD11" s="19"/>
      <c r="AE11" s="19"/>
      <c r="AF11" s="19"/>
      <c r="AG11" s="19"/>
    </row>
    <row r="12" spans="1:33" ht="19.5" customHeight="1">
      <c r="A12">
        <v>8</v>
      </c>
      <c r="B12" s="18">
        <f t="shared" si="17"/>
      </c>
      <c r="C12" s="18"/>
      <c r="D12" s="19"/>
      <c r="E12" s="19">
        <f t="shared" si="0"/>
      </c>
      <c r="F12" s="19" t="e">
        <f>VLOOKUP(B12,Places!$B$5:$K$30,9,0)</f>
        <v>#N/A</v>
      </c>
      <c r="G12" s="19" t="e">
        <f>VLOOKUP(B12,Places!$B$5:$K$30,10,0)</f>
        <v>#N/A</v>
      </c>
      <c r="H12" s="19" t="e">
        <f>VLOOKUP(C12,Places!$B$5:$K$30,9,0)</f>
        <v>#N/A</v>
      </c>
      <c r="I12" s="19" t="e">
        <f>VLOOKUP(C12,Places!$B$5:$K$30,10,0)</f>
        <v>#N/A</v>
      </c>
      <c r="J12" s="20" t="e">
        <f t="shared" si="1"/>
        <v>#N/A</v>
      </c>
      <c r="K12" s="19" t="e">
        <f t="shared" si="2"/>
        <v>#N/A</v>
      </c>
      <c r="L12" s="19" t="e">
        <f t="shared" si="3"/>
        <v>#N/A</v>
      </c>
      <c r="M12" s="19" t="e">
        <f t="shared" si="4"/>
        <v>#N/A</v>
      </c>
      <c r="N12" s="21">
        <f t="shared" si="5"/>
      </c>
      <c r="O12" s="22">
        <f t="shared" si="6"/>
      </c>
      <c r="P12" s="23" t="e">
        <f t="shared" si="7"/>
        <v>#VALUE!</v>
      </c>
      <c r="Q12" s="24" t="e">
        <f t="shared" si="8"/>
        <v>#VALUE!</v>
      </c>
      <c r="R12" s="24" t="e">
        <f t="shared" si="9"/>
        <v>#VALUE!</v>
      </c>
      <c r="S12" s="25" t="e">
        <f t="shared" si="10"/>
        <v>#VALUE!</v>
      </c>
      <c r="T12" s="26">
        <f t="shared" si="11"/>
      </c>
      <c r="U12" s="26">
        <f t="shared" si="12"/>
      </c>
      <c r="V12" s="27"/>
      <c r="W12" s="28">
        <f t="shared" si="13"/>
      </c>
      <c r="X12" s="29">
        <f t="shared" si="14"/>
      </c>
      <c r="Y12" s="30">
        <f t="shared" si="15"/>
      </c>
      <c r="Z12" s="31">
        <f t="shared" si="16"/>
      </c>
      <c r="AA12" s="32"/>
      <c r="AB12" s="19"/>
      <c r="AC12" s="19"/>
      <c r="AD12" s="19"/>
      <c r="AE12" s="19"/>
      <c r="AF12" s="19"/>
      <c r="AG12" s="19"/>
    </row>
    <row r="13" spans="1:33" ht="19.5" customHeight="1">
      <c r="A13">
        <v>9</v>
      </c>
      <c r="B13" s="18">
        <f t="shared" si="17"/>
      </c>
      <c r="C13" s="18"/>
      <c r="D13" s="19"/>
      <c r="E13" s="19">
        <f t="shared" si="0"/>
      </c>
      <c r="F13" s="19" t="e">
        <f>VLOOKUP(B13,Places!$B$5:$K$30,9,0)</f>
        <v>#N/A</v>
      </c>
      <c r="G13" s="19" t="e">
        <f>VLOOKUP(B13,Places!$B$5:$K$30,10,0)</f>
        <v>#N/A</v>
      </c>
      <c r="H13" s="19" t="e">
        <f>VLOOKUP(C13,Places!$B$5:$K$30,9,0)</f>
        <v>#N/A</v>
      </c>
      <c r="I13" s="19" t="e">
        <f>VLOOKUP(C13,Places!$B$5:$K$30,10,0)</f>
        <v>#N/A</v>
      </c>
      <c r="J13" s="20" t="e">
        <f t="shared" si="1"/>
        <v>#N/A</v>
      </c>
      <c r="K13" s="19" t="e">
        <f t="shared" si="2"/>
        <v>#N/A</v>
      </c>
      <c r="L13" s="19" t="e">
        <f t="shared" si="3"/>
        <v>#N/A</v>
      </c>
      <c r="M13" s="19" t="e">
        <f t="shared" si="4"/>
        <v>#N/A</v>
      </c>
      <c r="N13" s="21">
        <f t="shared" si="5"/>
      </c>
      <c r="O13" s="22">
        <f t="shared" si="6"/>
      </c>
      <c r="P13" s="23" t="e">
        <f t="shared" si="7"/>
        <v>#VALUE!</v>
      </c>
      <c r="Q13" s="24" t="e">
        <f t="shared" si="8"/>
        <v>#VALUE!</v>
      </c>
      <c r="R13" s="24" t="e">
        <f t="shared" si="9"/>
        <v>#VALUE!</v>
      </c>
      <c r="S13" s="25" t="e">
        <f t="shared" si="10"/>
        <v>#VALUE!</v>
      </c>
      <c r="T13" s="26">
        <f t="shared" si="11"/>
      </c>
      <c r="U13" s="26">
        <f t="shared" si="12"/>
      </c>
      <c r="V13" s="27"/>
      <c r="W13" s="28">
        <f t="shared" si="13"/>
      </c>
      <c r="X13" s="29">
        <f t="shared" si="14"/>
      </c>
      <c r="Y13" s="30">
        <f t="shared" si="15"/>
      </c>
      <c r="Z13" s="31">
        <f t="shared" si="16"/>
      </c>
      <c r="AA13" s="32"/>
      <c r="AB13" s="19"/>
      <c r="AC13" s="19"/>
      <c r="AD13" s="19"/>
      <c r="AE13" s="19"/>
      <c r="AF13" s="19"/>
      <c r="AG13" s="19"/>
    </row>
    <row r="14" spans="1:33" ht="19.5" customHeight="1">
      <c r="A14">
        <v>10</v>
      </c>
      <c r="B14" s="18">
        <f t="shared" si="17"/>
      </c>
      <c r="C14" s="18"/>
      <c r="D14" s="19"/>
      <c r="E14" s="19">
        <f t="shared" si="0"/>
      </c>
      <c r="F14" s="19" t="e">
        <f>VLOOKUP(B14,Places!$B$5:$K$30,9,0)</f>
        <v>#N/A</v>
      </c>
      <c r="G14" s="19" t="e">
        <f>VLOOKUP(B14,Places!$B$5:$K$30,10,0)</f>
        <v>#N/A</v>
      </c>
      <c r="H14" s="19" t="e">
        <f>VLOOKUP(C14,Places!$B$5:$K$30,9,0)</f>
        <v>#N/A</v>
      </c>
      <c r="I14" s="19" t="e">
        <f>VLOOKUP(C14,Places!$B$5:$K$30,10,0)</f>
        <v>#N/A</v>
      </c>
      <c r="J14" s="20" t="e">
        <f t="shared" si="1"/>
        <v>#N/A</v>
      </c>
      <c r="K14" s="19" t="e">
        <f t="shared" si="2"/>
        <v>#N/A</v>
      </c>
      <c r="L14" s="19" t="e">
        <f t="shared" si="3"/>
        <v>#N/A</v>
      </c>
      <c r="M14" s="19" t="e">
        <f t="shared" si="4"/>
        <v>#N/A</v>
      </c>
      <c r="N14" s="21">
        <f t="shared" si="5"/>
      </c>
      <c r="O14" s="22">
        <f t="shared" si="6"/>
      </c>
      <c r="P14" s="23" t="e">
        <f t="shared" si="7"/>
        <v>#VALUE!</v>
      </c>
      <c r="Q14" s="24" t="e">
        <f t="shared" si="8"/>
        <v>#VALUE!</v>
      </c>
      <c r="R14" s="24" t="e">
        <f t="shared" si="9"/>
        <v>#VALUE!</v>
      </c>
      <c r="S14" s="25" t="e">
        <f t="shared" si="10"/>
        <v>#VALUE!</v>
      </c>
      <c r="T14" s="26">
        <f t="shared" si="11"/>
      </c>
      <c r="U14" s="26">
        <f t="shared" si="12"/>
      </c>
      <c r="V14" s="27"/>
      <c r="W14" s="28">
        <f t="shared" si="13"/>
      </c>
      <c r="X14" s="29">
        <f t="shared" si="14"/>
      </c>
      <c r="Y14" s="30">
        <f t="shared" si="15"/>
      </c>
      <c r="Z14" s="31">
        <f t="shared" si="16"/>
      </c>
      <c r="AA14" s="32"/>
      <c r="AB14" s="19"/>
      <c r="AC14" s="19"/>
      <c r="AD14" s="19"/>
      <c r="AE14" s="19"/>
      <c r="AF14" s="19"/>
      <c r="AG14" s="19"/>
    </row>
    <row r="15" spans="24:26" ht="11.25" customHeight="1">
      <c r="X15" s="33" t="s">
        <v>34</v>
      </c>
      <c r="Y15" s="34" t="str">
        <f>IF(SUM(Y5:Y14)&gt;0,SUM(Y5:Y14),".")</f>
        <v>.</v>
      </c>
      <c r="Z15" s="35" t="str">
        <f>IF(SUM(Z5:Z14)&gt;0,SUM(Z5:Z14),".")</f>
        <v>.</v>
      </c>
    </row>
    <row r="16" spans="2:28" ht="12.75">
      <c r="B16" s="6"/>
      <c r="C16" s="36" t="s">
        <v>35</v>
      </c>
      <c r="D16" s="37"/>
      <c r="E16" s="38"/>
      <c r="F16" s="38"/>
      <c r="G16" s="38"/>
      <c r="H16" s="38"/>
      <c r="I16" s="38"/>
      <c r="J16" s="39"/>
      <c r="K16" s="38"/>
      <c r="L16" s="38"/>
      <c r="M16" s="38"/>
      <c r="T16" s="6" t="s">
        <v>36</v>
      </c>
      <c r="AB16" s="6" t="s">
        <v>37</v>
      </c>
    </row>
    <row r="17" spans="1:31" ht="12.75">
      <c r="A17" s="73" t="s">
        <v>154</v>
      </c>
      <c r="B17" s="74"/>
      <c r="C17" s="74"/>
      <c r="D17" s="74"/>
      <c r="E17" s="74"/>
      <c r="T17" s="75" t="s">
        <v>38</v>
      </c>
      <c r="U17" s="75"/>
      <c r="V17" s="75" t="s">
        <v>16</v>
      </c>
      <c r="W17" s="75"/>
      <c r="X17" s="6" t="s">
        <v>39</v>
      </c>
      <c r="AB17" s="6" t="s">
        <v>40</v>
      </c>
      <c r="AC17" s="6" t="s">
        <v>41</v>
      </c>
      <c r="AE17" s="6" t="s">
        <v>42</v>
      </c>
    </row>
    <row r="18" spans="1:32" ht="12.75" customHeight="1">
      <c r="A18" s="73"/>
      <c r="B18" s="73"/>
      <c r="C18" s="74"/>
      <c r="D18" s="74"/>
      <c r="E18" s="74"/>
      <c r="T18" s="76">
        <v>2000</v>
      </c>
      <c r="U18" s="76"/>
      <c r="V18" s="21"/>
      <c r="W18" s="41"/>
      <c r="X18" s="40"/>
      <c r="AB18" s="77" t="s">
        <v>43</v>
      </c>
      <c r="AC18" s="74"/>
      <c r="AD18" s="74"/>
      <c r="AE18" s="74"/>
      <c r="AF18" s="74"/>
    </row>
    <row r="19" spans="1:32" ht="12.75" customHeight="1">
      <c r="A19" s="73"/>
      <c r="B19" s="73"/>
      <c r="C19" s="74"/>
      <c r="D19" s="74"/>
      <c r="E19" s="74"/>
      <c r="T19" s="78">
        <v>5000</v>
      </c>
      <c r="U19" s="78"/>
      <c r="V19" s="21"/>
      <c r="W19" s="41"/>
      <c r="X19" s="40"/>
      <c r="AB19" s="77"/>
      <c r="AC19" s="74"/>
      <c r="AD19" s="74"/>
      <c r="AE19" s="74"/>
      <c r="AF19" s="74"/>
    </row>
    <row r="20" spans="1:32" ht="9" customHeight="1">
      <c r="A20" s="73"/>
      <c r="B20" s="73"/>
      <c r="C20" s="74"/>
      <c r="D20" s="74"/>
      <c r="E20" s="74"/>
      <c r="AB20" s="77" t="s">
        <v>44</v>
      </c>
      <c r="AC20" s="74"/>
      <c r="AD20" s="74"/>
      <c r="AE20" s="74"/>
      <c r="AF20" s="74"/>
    </row>
    <row r="21" spans="1:32" ht="12.75" customHeight="1">
      <c r="A21" s="73"/>
      <c r="B21" s="73"/>
      <c r="C21" s="74"/>
      <c r="D21" s="74"/>
      <c r="E21" s="74"/>
      <c r="T21" s="6" t="s">
        <v>45</v>
      </c>
      <c r="Y21" s="6" t="s">
        <v>26</v>
      </c>
      <c r="Z21" s="6" t="s">
        <v>46</v>
      </c>
      <c r="AB21" s="77"/>
      <c r="AC21" s="74"/>
      <c r="AD21" s="74"/>
      <c r="AE21" s="74"/>
      <c r="AF21" s="74"/>
    </row>
    <row r="22" spans="1:32" ht="12.75">
      <c r="A22" s="73"/>
      <c r="B22" s="73"/>
      <c r="C22" s="74"/>
      <c r="D22" s="74"/>
      <c r="E22" s="74"/>
      <c r="T22" s="79" t="str">
        <f>"1."</f>
        <v>1.</v>
      </c>
      <c r="U22" s="79"/>
      <c r="V22" s="79"/>
      <c r="W22" s="79"/>
      <c r="X22" s="79"/>
      <c r="Y22" s="40"/>
      <c r="Z22" s="40"/>
      <c r="AB22" s="77" t="s">
        <v>47</v>
      </c>
      <c r="AC22" s="74"/>
      <c r="AD22" s="74"/>
      <c r="AE22" s="74"/>
      <c r="AF22" s="74"/>
    </row>
    <row r="23" spans="1:32" ht="12.75">
      <c r="A23" s="73"/>
      <c r="B23" s="73"/>
      <c r="C23" s="74"/>
      <c r="D23" s="74"/>
      <c r="E23" s="74"/>
      <c r="T23" s="79" t="str">
        <f>"2."</f>
        <v>2.</v>
      </c>
      <c r="U23" s="79"/>
      <c r="V23" s="79"/>
      <c r="W23" s="79"/>
      <c r="X23" s="79"/>
      <c r="Y23" s="40"/>
      <c r="Z23" s="40"/>
      <c r="AB23" s="77"/>
      <c r="AC23" s="74"/>
      <c r="AD23" s="74"/>
      <c r="AE23" s="74"/>
      <c r="AF23" s="74"/>
    </row>
    <row r="24" spans="1:20" ht="12.75">
      <c r="A24" s="73"/>
      <c r="B24" s="73"/>
      <c r="C24" s="74"/>
      <c r="D24" s="74"/>
      <c r="E24" s="74"/>
      <c r="T24" s="6"/>
    </row>
    <row r="25" spans="1:33" ht="12.75">
      <c r="A25" s="73"/>
      <c r="B25" t="s">
        <v>48</v>
      </c>
      <c r="C25" s="42"/>
      <c r="D25" s="43" t="s">
        <v>49</v>
      </c>
      <c r="E25" s="42">
        <f>IF(D16&lt;&gt;"",VLOOKUP(D16&amp;" ATIS",'Radio Data'!E4:I22,4,0),"")</f>
      </c>
      <c r="F25" s="42"/>
      <c r="G25" s="42"/>
      <c r="H25" s="42"/>
      <c r="I25" s="42"/>
      <c r="J25" s="44"/>
      <c r="K25" s="42"/>
      <c r="L25" s="42"/>
      <c r="M25" s="42"/>
      <c r="N25" s="43"/>
      <c r="T25" s="6" t="s">
        <v>50</v>
      </c>
      <c r="AB25" s="6" t="s">
        <v>51</v>
      </c>
      <c r="AD25" t="s">
        <v>52</v>
      </c>
      <c r="AE25" t="s">
        <v>53</v>
      </c>
      <c r="AG25" t="s">
        <v>54</v>
      </c>
    </row>
    <row r="26" spans="1:33" ht="12.75">
      <c r="A26" s="73"/>
      <c r="T26" s="74"/>
      <c r="U26" s="74"/>
      <c r="V26" s="74"/>
      <c r="W26" s="74"/>
      <c r="X26" s="74"/>
      <c r="Y26" s="74"/>
      <c r="Z26" s="74"/>
      <c r="AB26" s="74"/>
      <c r="AC26" s="74"/>
      <c r="AD26" s="40">
        <f>IF($AB26&lt;&gt;"",VLOOKUP($AB26,'Radio Data'!$E$4:$I$22,3,0),"")</f>
      </c>
      <c r="AE26" s="80">
        <f>IF($AB26&lt;&gt;"",VLOOKUP($AB26,'Radio Data'!$E$4:$I$22,4,0),"")</f>
      </c>
      <c r="AF26" s="80"/>
      <c r="AG26" s="45">
        <f>IF($AB26&lt;&gt;"",VLOOKUP($AB26,'Radio Data'!$E$4:$I$22,5,0),"")</f>
      </c>
    </row>
    <row r="27" spans="1:33" ht="12.75">
      <c r="A27" s="73"/>
      <c r="B27" s="6" t="s">
        <v>55</v>
      </c>
      <c r="T27" s="74"/>
      <c r="U27" s="74"/>
      <c r="V27" s="74"/>
      <c r="W27" s="74"/>
      <c r="X27" s="74"/>
      <c r="Y27" s="74"/>
      <c r="Z27" s="74"/>
      <c r="AB27" s="74"/>
      <c r="AC27" s="74"/>
      <c r="AD27" s="40">
        <f>IF($AB27&lt;&gt;"",VLOOKUP($AB27,'Radio Data'!$E$4:$I$22,3,0),"")</f>
      </c>
      <c r="AE27" s="80">
        <f>IF($AB27&lt;&gt;"",VLOOKUP($AB27,'Radio Data'!$E$4:$I$22,4,0),"")</f>
      </c>
      <c r="AF27" s="80"/>
      <c r="AG27" s="45">
        <f>IF($AB27&lt;&gt;"",VLOOKUP($AB27,'Radio Data'!$E$4:$I$22,5,0),"")</f>
      </c>
    </row>
    <row r="28" spans="1:33" ht="15.75" customHeight="1">
      <c r="A28" s="73"/>
      <c r="B28" t="s">
        <v>56</v>
      </c>
      <c r="C28" s="81">
        <v>9</v>
      </c>
      <c r="D28" s="81"/>
      <c r="E28" t="s">
        <v>57</v>
      </c>
      <c r="T28" s="74"/>
      <c r="U28" s="74"/>
      <c r="V28" s="74"/>
      <c r="W28" s="74"/>
      <c r="X28" s="74"/>
      <c r="Y28" s="74"/>
      <c r="Z28" s="74"/>
      <c r="AB28" s="74"/>
      <c r="AC28" s="74"/>
      <c r="AD28" s="40">
        <f>IF($AB28&lt;&gt;"",VLOOKUP($AB28,'Radio Data'!$E$4:$I$22,3,0),"")</f>
      </c>
      <c r="AE28" s="80">
        <f>IF($AB28&lt;&gt;"",VLOOKUP($AB28,'Radio Data'!$E$4:$I$22,4,0),"")</f>
      </c>
      <c r="AF28" s="80"/>
      <c r="AG28" s="45">
        <f>IF($AB28&lt;&gt;"",VLOOKUP($AB28,'Radio Data'!$E$4:$I$22,5,0),"")</f>
      </c>
    </row>
    <row r="29" spans="1:33" ht="15.75" customHeight="1">
      <c r="A29" s="73"/>
      <c r="B29" t="s">
        <v>58</v>
      </c>
      <c r="C29" s="46">
        <v>1</v>
      </c>
      <c r="D29" s="47">
        <f>(C28/60)*E29</f>
        <v>1.5</v>
      </c>
      <c r="E29" s="48">
        <v>10</v>
      </c>
      <c r="F29" s="48"/>
      <c r="G29" s="48"/>
      <c r="H29" s="48"/>
      <c r="I29" s="48"/>
      <c r="J29" s="49"/>
      <c r="K29" s="48"/>
      <c r="L29" s="48"/>
      <c r="M29" s="48"/>
      <c r="T29" s="74"/>
      <c r="U29" s="74"/>
      <c r="V29" s="74"/>
      <c r="W29" s="74"/>
      <c r="X29" s="74"/>
      <c r="Y29" s="74"/>
      <c r="Z29" s="74"/>
      <c r="AB29" s="74"/>
      <c r="AC29" s="74"/>
      <c r="AD29" s="40">
        <f>IF($AB29&lt;&gt;"",VLOOKUP($AB29,'Radio Data'!$E$4:$I$22,3,0),"")</f>
      </c>
      <c r="AE29" s="80">
        <f>IF($AB29&lt;&gt;"",VLOOKUP($AB29,'Radio Data'!$E$4:$I$22,4,0),"")</f>
      </c>
      <c r="AF29" s="80"/>
      <c r="AG29" s="45">
        <f>IF($AB29&lt;&gt;"",VLOOKUP($AB29,'Radio Data'!$E$4:$I$22,5,0),"")</f>
      </c>
    </row>
    <row r="30" spans="1:33" ht="15.75" customHeight="1">
      <c r="A30" s="73"/>
      <c r="B30" t="s">
        <v>59</v>
      </c>
      <c r="C30" s="82" t="str">
        <f>IF(Z15&lt;&gt;".",(C28/60)*Z15,".")</f>
        <v>.</v>
      </c>
      <c r="D30" s="82"/>
      <c r="T30" s="74"/>
      <c r="U30" s="74"/>
      <c r="V30" s="74"/>
      <c r="W30" s="74"/>
      <c r="X30" s="74"/>
      <c r="Y30" s="74"/>
      <c r="Z30" s="74"/>
      <c r="AB30" s="74"/>
      <c r="AC30" s="74"/>
      <c r="AD30" s="40">
        <f>IF($AB30&lt;&gt;"",VLOOKUP($AB30,'Radio Data'!$E$4:$I$22,3,0),"")</f>
      </c>
      <c r="AE30" s="80">
        <f>IF($AB30&lt;&gt;"",VLOOKUP($AB30,'Radio Data'!$E$4:$I$22,4,0),"")</f>
      </c>
      <c r="AF30" s="80"/>
      <c r="AG30" s="45">
        <f>IF($AB30&lt;&gt;"",VLOOKUP($AB30,'Radio Data'!$E$4:$I$22,5,0),"")</f>
      </c>
    </row>
    <row r="31" spans="1:33" ht="15.75" customHeight="1">
      <c r="A31" s="73"/>
      <c r="B31" t="s">
        <v>60</v>
      </c>
      <c r="C31" s="83">
        <f>C28*E31</f>
        <v>9</v>
      </c>
      <c r="D31" s="83"/>
      <c r="E31" s="50">
        <v>1</v>
      </c>
      <c r="F31" s="50"/>
      <c r="G31" s="50"/>
      <c r="H31" s="50"/>
      <c r="I31" s="50"/>
      <c r="J31" s="49"/>
      <c r="K31" s="50"/>
      <c r="L31" s="50"/>
      <c r="M31" s="50"/>
      <c r="T31" s="74"/>
      <c r="U31" s="74"/>
      <c r="V31" s="74"/>
      <c r="W31" s="74"/>
      <c r="X31" s="74"/>
      <c r="Y31" s="74"/>
      <c r="Z31" s="74"/>
      <c r="AB31" s="74"/>
      <c r="AC31" s="74"/>
      <c r="AD31" s="40">
        <f>IF($AB31&lt;&gt;"",VLOOKUP($AB31,'Radio Data'!$E$4:$I$22,3,0),"")</f>
      </c>
      <c r="AE31" s="80">
        <f>IF($AB31&lt;&gt;"",VLOOKUP($AB31,'Radio Data'!$E$4:$I$22,4,0),"")</f>
      </c>
      <c r="AF31" s="80"/>
      <c r="AG31" s="45">
        <f>IF($AB31&lt;&gt;"",VLOOKUP($AB31,'Radio Data'!$E$4:$I$22,5,0),"")</f>
      </c>
    </row>
    <row r="32" spans="1:33" ht="15.75" customHeight="1">
      <c r="A32" s="73"/>
      <c r="B32" s="6" t="s">
        <v>61</v>
      </c>
      <c r="C32" s="82">
        <f>IF(C30&lt;&gt;".",(C29*D29)+C30+C31,"")</f>
      </c>
      <c r="D32" s="82"/>
      <c r="E32" t="s">
        <v>62</v>
      </c>
      <c r="T32" t="s">
        <v>63</v>
      </c>
      <c r="W32" s="74"/>
      <c r="X32" s="74"/>
      <c r="Y32" s="74"/>
      <c r="Z32" s="74"/>
      <c r="AB32" s="74"/>
      <c r="AC32" s="74"/>
      <c r="AD32" s="40">
        <f>IF($AB32&lt;&gt;"",VLOOKUP($AB32,'Radio Data'!$E$4:$I$22,3,0),"")</f>
      </c>
      <c r="AE32" s="80">
        <f>IF($AB32&lt;&gt;"",VLOOKUP($AB32,'Radio Data'!$E$4:$I$22,4,0),"")</f>
      </c>
      <c r="AF32" s="80"/>
      <c r="AG32" s="45">
        <f>IF($AB32&lt;&gt;"",VLOOKUP($AB32,'Radio Data'!$E$4:$I$22,5,0),"")</f>
      </c>
    </row>
  </sheetData>
  <sheetProtection selectLockedCells="1" selectUnlockedCells="1"/>
  <mergeCells count="40">
    <mergeCell ref="C32:D32"/>
    <mergeCell ref="W32:Z32"/>
    <mergeCell ref="AB32:AC32"/>
    <mergeCell ref="AE32:AF32"/>
    <mergeCell ref="C30:D30"/>
    <mergeCell ref="AB30:AC30"/>
    <mergeCell ref="AE30:AF30"/>
    <mergeCell ref="C31:D31"/>
    <mergeCell ref="AB31:AC31"/>
    <mergeCell ref="AE31:AF31"/>
    <mergeCell ref="T26:Z31"/>
    <mergeCell ref="AB26:AC26"/>
    <mergeCell ref="AE26:AF26"/>
    <mergeCell ref="AB27:AC27"/>
    <mergeCell ref="AE27:AF27"/>
    <mergeCell ref="C28:D28"/>
    <mergeCell ref="AB28:AC28"/>
    <mergeCell ref="AE28:AF28"/>
    <mergeCell ref="AB29:AC29"/>
    <mergeCell ref="AE29:AF29"/>
    <mergeCell ref="AE18:AF19"/>
    <mergeCell ref="T19:U19"/>
    <mergeCell ref="AB20:AB21"/>
    <mergeCell ref="AC20:AD21"/>
    <mergeCell ref="AE20:AF21"/>
    <mergeCell ref="T22:X22"/>
    <mergeCell ref="AB22:AB23"/>
    <mergeCell ref="AC22:AD23"/>
    <mergeCell ref="AE22:AF23"/>
    <mergeCell ref="T23:X23"/>
    <mergeCell ref="U2:V2"/>
    <mergeCell ref="X2:AF2"/>
    <mergeCell ref="N4:O4"/>
    <mergeCell ref="A17:A32"/>
    <mergeCell ref="B17:E24"/>
    <mergeCell ref="T17:U17"/>
    <mergeCell ref="V17:W17"/>
    <mergeCell ref="T18:U18"/>
    <mergeCell ref="AB18:AB19"/>
    <mergeCell ref="AC18:AD19"/>
  </mergeCells>
  <printOptions/>
  <pageMargins left="0.39375" right="0.39375" top="0.39375" bottom="0.5527777777777778" header="0.5118055555555555" footer="0.31527777777777777"/>
  <pageSetup firstPageNumber="1" useFirstPageNumber="1" horizontalDpi="300" verticalDpi="300" orientation="landscape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E14" sqref="E14"/>
    </sheetView>
  </sheetViews>
  <sheetFormatPr defaultColWidth="11.57421875" defaultRowHeight="12.75"/>
  <cols>
    <col min="1" max="1" width="11.57421875" style="0" customWidth="1"/>
    <col min="2" max="2" width="3.421875" style="0" customWidth="1"/>
    <col min="3" max="3" width="9.28125" style="51" customWidth="1"/>
    <col min="4" max="4" width="2.7109375" style="0" customWidth="1"/>
    <col min="5" max="5" width="17.28125" style="0" customWidth="1"/>
  </cols>
  <sheetData>
    <row r="2" spans="2:7" ht="15">
      <c r="B2" s="52" t="s">
        <v>64</v>
      </c>
      <c r="C2" s="53"/>
      <c r="E2" s="6" t="s">
        <v>65</v>
      </c>
      <c r="G2" s="54"/>
    </row>
    <row r="3" spans="2:9" ht="15">
      <c r="B3" s="55"/>
      <c r="C3" s="53"/>
      <c r="E3" s="56" t="s">
        <v>51</v>
      </c>
      <c r="F3" t="s">
        <v>66</v>
      </c>
      <c r="G3" s="56" t="s">
        <v>52</v>
      </c>
      <c r="H3" s="57" t="s">
        <v>53</v>
      </c>
      <c r="I3" t="s">
        <v>67</v>
      </c>
    </row>
    <row r="4" spans="2:9" ht="15">
      <c r="B4" s="55" t="s">
        <v>68</v>
      </c>
      <c r="C4" s="53" t="s">
        <v>69</v>
      </c>
      <c r="E4" s="58" t="s">
        <v>70</v>
      </c>
      <c r="F4" s="58" t="s">
        <v>70</v>
      </c>
      <c r="G4" s="58" t="s">
        <v>71</v>
      </c>
      <c r="H4" s="59">
        <v>113.75</v>
      </c>
      <c r="I4" s="60" t="str">
        <f>IF(G4="VOR",VLOOKUP(MID(F4,1,1),'Radio Data'!$B$4:$C$29,2)&amp;"  "&amp;VLOOKUP(MID(F4,2,1),'Radio Data'!$B$4:$C$29,2)&amp;" "&amp;VLOOKUP(MID(F4,3,1),'Radio Data'!$B$4:$C$29,2),"")</f>
        <v>-...  -. -.</v>
      </c>
    </row>
    <row r="5" spans="2:9" ht="15">
      <c r="B5" s="55" t="s">
        <v>72</v>
      </c>
      <c r="C5" s="53" t="s">
        <v>73</v>
      </c>
      <c r="E5" s="58" t="s">
        <v>74</v>
      </c>
      <c r="F5" s="58"/>
      <c r="G5" s="58" t="s">
        <v>75</v>
      </c>
      <c r="H5" s="59">
        <v>130.725</v>
      </c>
      <c r="I5" s="60">
        <f>IF(G5="VOR",VLOOKUP(MID(F5,1,1),'Radio Data'!$B$4:$C$29,2)&amp;"  "&amp;VLOOKUP(MID(F5,2,1),'Radio Data'!$B$4:$C$29,2)&amp;" "&amp;VLOOKUP(MID(F5,3,1),'Radio Data'!$B$4:$C$29,2),"")</f>
      </c>
    </row>
    <row r="6" spans="2:9" ht="15">
      <c r="B6" s="55" t="s">
        <v>76</v>
      </c>
      <c r="C6" s="53" t="s">
        <v>77</v>
      </c>
      <c r="E6" s="58" t="s">
        <v>78</v>
      </c>
      <c r="F6" s="58" t="s">
        <v>78</v>
      </c>
      <c r="G6" s="58" t="s">
        <v>71</v>
      </c>
      <c r="H6" s="59">
        <v>116.5</v>
      </c>
      <c r="I6" s="60" t="str">
        <f>IF(G6="VOR",VLOOKUP(MID(F6,1,1),'Radio Data'!$B$4:$C$29,2)&amp;"  "&amp;VLOOKUP(MID(F6,2,1),'Radio Data'!$B$4:$C$29,2)&amp;" "&amp;VLOOKUP(MID(F6,3,1),'Radio Data'!$B$4:$C$29,2),"")</f>
        <v>-.-.  ..-. -..</v>
      </c>
    </row>
    <row r="7" spans="2:9" ht="15">
      <c r="B7" s="55" t="s">
        <v>79</v>
      </c>
      <c r="C7" s="53" t="s">
        <v>80</v>
      </c>
      <c r="E7" s="58" t="s">
        <v>81</v>
      </c>
      <c r="F7" s="58"/>
      <c r="G7" s="58" t="s">
        <v>82</v>
      </c>
      <c r="H7" s="59">
        <v>120.9</v>
      </c>
      <c r="I7" s="60">
        <f>IF(G7="VOR",VLOOKUP(MID(F7,1,1),'Radio Data'!$B$4:$C$29,2)&amp;"  "&amp;VLOOKUP(MID(F7,2,1),'Radio Data'!$B$4:$C$29,2)&amp;" "&amp;VLOOKUP(MID(F7,3,1),'Radio Data'!$B$4:$C$29,2),"")</f>
      </c>
    </row>
    <row r="8" spans="2:9" ht="15">
      <c r="B8" s="55" t="s">
        <v>83</v>
      </c>
      <c r="C8" s="53" t="s">
        <v>84</v>
      </c>
      <c r="E8" s="58" t="s">
        <v>85</v>
      </c>
      <c r="F8" s="58"/>
      <c r="G8" s="58" t="s">
        <v>86</v>
      </c>
      <c r="H8" s="59">
        <v>133.425</v>
      </c>
      <c r="I8" s="60">
        <f>IF(G8="VOR",VLOOKUP(MID(F8,1,1),'Radio Data'!$B$4:$C$29,2)&amp;"  "&amp;VLOOKUP(MID(F8,2,1),'Radio Data'!$B$4:$C$29,2)&amp;" "&amp;VLOOKUP(MID(F8,3,1),'Radio Data'!$B$4:$C$29,2),"")</f>
      </c>
    </row>
    <row r="9" spans="2:9" ht="15">
      <c r="B9" s="55" t="s">
        <v>87</v>
      </c>
      <c r="C9" s="53" t="s">
        <v>88</v>
      </c>
      <c r="E9" s="58" t="s">
        <v>89</v>
      </c>
      <c r="F9" s="58"/>
      <c r="G9" s="58" t="s">
        <v>90</v>
      </c>
      <c r="H9" s="59">
        <v>125.325</v>
      </c>
      <c r="I9" s="60">
        <f>IF(G9="VOR",VLOOKUP(MID(F9,1,1),'Radio Data'!$B$4:$C$29,2)&amp;"  "&amp;VLOOKUP(MID(F9,2,1),'Radio Data'!$B$4:$C$29,2)&amp;" "&amp;VLOOKUP(MID(F9,3,1),'Radio Data'!$B$4:$C$29,2),"")</f>
      </c>
    </row>
    <row r="10" spans="2:9" ht="15">
      <c r="B10" s="55" t="s">
        <v>91</v>
      </c>
      <c r="C10" s="53" t="s">
        <v>92</v>
      </c>
      <c r="E10" s="58" t="s">
        <v>93</v>
      </c>
      <c r="F10" s="58"/>
      <c r="G10" s="58" t="s">
        <v>94</v>
      </c>
      <c r="H10" s="59">
        <v>122.175</v>
      </c>
      <c r="I10" s="60">
        <f>IF(G10="VOR",VLOOKUP(MID(F10,1,1),'Radio Data'!$B$4:$C$29,2)&amp;"  "&amp;VLOOKUP(MID(F10,2,1),'Radio Data'!$B$4:$C$29,2)&amp;" "&amp;VLOOKUP(MID(F10,3,1),'Radio Data'!$B$4:$C$29,2),"")</f>
      </c>
    </row>
    <row r="11" spans="2:9" ht="15">
      <c r="B11" s="55" t="s">
        <v>95</v>
      </c>
      <c r="C11" s="53" t="s">
        <v>96</v>
      </c>
      <c r="E11" s="58" t="s">
        <v>97</v>
      </c>
      <c r="F11" s="58"/>
      <c r="G11" s="58" t="s">
        <v>98</v>
      </c>
      <c r="H11" s="59">
        <v>121.95</v>
      </c>
      <c r="I11" s="60">
        <f>IF(G11="VOR",VLOOKUP(MID(F11,1,1),'Radio Data'!$B$4:$C$29,2)&amp;"  "&amp;VLOOKUP(MID(F11,2,1),'Radio Data'!$B$4:$C$29,2)&amp;" "&amp;VLOOKUP(MID(F11,3,1),'Radio Data'!$B$4:$C$29,2),"")</f>
      </c>
    </row>
    <row r="12" spans="2:9" ht="15">
      <c r="B12" s="55" t="s">
        <v>99</v>
      </c>
      <c r="C12" s="53" t="s">
        <v>100</v>
      </c>
      <c r="E12" s="58" t="s">
        <v>101</v>
      </c>
      <c r="F12" s="58"/>
      <c r="G12" s="58" t="s">
        <v>102</v>
      </c>
      <c r="H12" s="59">
        <v>136.225</v>
      </c>
      <c r="I12" s="60">
        <f>IF(G12="VOR",VLOOKUP(MID(F12,1,1),'Radio Data'!$B$4:$C$29,2)&amp;"  "&amp;VLOOKUP(MID(F12,2,1),'Radio Data'!$B$4:$C$29,2)&amp;" "&amp;VLOOKUP(MID(F12,3,1),'Radio Data'!$B$4:$C$29,2),"")</f>
      </c>
    </row>
    <row r="13" spans="2:9" ht="15">
      <c r="B13" s="55" t="s">
        <v>103</v>
      </c>
      <c r="C13" s="53" t="s">
        <v>104</v>
      </c>
      <c r="E13" s="58" t="s">
        <v>105</v>
      </c>
      <c r="F13" s="58" t="s">
        <v>105</v>
      </c>
      <c r="G13" s="58" t="s">
        <v>71</v>
      </c>
      <c r="H13" s="59">
        <v>116.4</v>
      </c>
      <c r="I13" s="60" t="str">
        <f>IF(G13="VOR",VLOOKUP(MID(F13,1,1),'Radio Data'!$B$4:$C$29,2)&amp;"  "&amp;VLOOKUP(MID(F13,2,1),'Radio Data'!$B$4:$C$29,2)&amp;" "&amp;VLOOKUP(MID(F13,3,1),'Radio Data'!$B$4:$C$29,2),"")</f>
        <v>-..  - -.--</v>
      </c>
    </row>
    <row r="14" spans="2:9" ht="15">
      <c r="B14" s="55" t="s">
        <v>106</v>
      </c>
      <c r="C14" s="53" t="s">
        <v>107</v>
      </c>
      <c r="E14" s="58"/>
      <c r="F14" s="58"/>
      <c r="G14" s="58"/>
      <c r="H14" s="59"/>
      <c r="I14" s="60">
        <f>IF(G14="VOR",VLOOKUP(MID(F14,1,1),'Radio Data'!$B$4:$C$29,2)&amp;"  "&amp;VLOOKUP(MID(F14,2,1),'Radio Data'!$B$4:$C$29,2)&amp;" "&amp;VLOOKUP(MID(F14,3,1),'Radio Data'!$B$4:$C$29,2),"")</f>
      </c>
    </row>
    <row r="15" spans="2:9" ht="15">
      <c r="B15" s="55" t="s">
        <v>108</v>
      </c>
      <c r="C15" s="53" t="s">
        <v>109</v>
      </c>
      <c r="E15" s="58"/>
      <c r="F15" s="58"/>
      <c r="G15" s="58"/>
      <c r="H15" s="59"/>
      <c r="I15" s="60">
        <f>IF(G15="VOR",VLOOKUP(MID(F15,1,1),'Radio Data'!$B$4:$C$29,2)&amp;"  "&amp;VLOOKUP(MID(F15,2,1),'Radio Data'!$B$4:$C$29,2)&amp;" "&amp;VLOOKUP(MID(F15,3,1),'Radio Data'!$B$4:$C$29,2),"")</f>
      </c>
    </row>
    <row r="16" spans="2:9" ht="15">
      <c r="B16" s="55" t="s">
        <v>110</v>
      </c>
      <c r="C16" s="53" t="s">
        <v>111</v>
      </c>
      <c r="E16" s="58"/>
      <c r="F16" s="58"/>
      <c r="G16" s="58"/>
      <c r="H16" s="59"/>
      <c r="I16" s="60">
        <f>IF(G16="VOR",VLOOKUP(MID(F16,1,1),'Radio Data'!$B$4:$C$29,2)&amp;"  "&amp;VLOOKUP(MID(F16,2,1),'Radio Data'!$B$4:$C$29,2)&amp;" "&amp;VLOOKUP(MID(F16,3,1),'Radio Data'!$B$4:$C$29,2),"")</f>
      </c>
    </row>
    <row r="17" spans="2:9" ht="15">
      <c r="B17" s="55" t="s">
        <v>112</v>
      </c>
      <c r="C17" s="53" t="s">
        <v>113</v>
      </c>
      <c r="E17" s="58"/>
      <c r="F17" s="58"/>
      <c r="G17" s="58"/>
      <c r="H17" s="59"/>
      <c r="I17" s="60">
        <f>IF(G17="VOR",VLOOKUP(MID(F17,1,1),'Radio Data'!$B$4:$C$29,2)&amp;"  "&amp;VLOOKUP(MID(F17,2,1),'Radio Data'!$B$4:$C$29,2)&amp;" "&amp;VLOOKUP(MID(F17,3,1),'Radio Data'!$B$4:$C$29,2),"")</f>
      </c>
    </row>
    <row r="18" spans="2:9" ht="15">
      <c r="B18" s="55" t="s">
        <v>114</v>
      </c>
      <c r="C18" s="53" t="s">
        <v>115</v>
      </c>
      <c r="E18" s="58"/>
      <c r="F18" s="58"/>
      <c r="G18" s="58"/>
      <c r="H18" s="59"/>
      <c r="I18" s="60">
        <f>IF(G18="VOR",VLOOKUP(MID(F18,1,1),'Radio Data'!$B$4:$C$29,2)&amp;"  "&amp;VLOOKUP(MID(F18,2,1),'Radio Data'!$B$4:$C$29,2)&amp;" "&amp;VLOOKUP(MID(F18,3,1),'Radio Data'!$B$4:$C$29,2),"")</f>
      </c>
    </row>
    <row r="19" spans="2:9" ht="15">
      <c r="B19" s="55" t="s">
        <v>116</v>
      </c>
      <c r="C19" s="53" t="s">
        <v>117</v>
      </c>
      <c r="E19" s="58"/>
      <c r="F19" s="58"/>
      <c r="G19" s="58"/>
      <c r="H19" s="59"/>
      <c r="I19" s="60">
        <f>IF(G19="VOR",VLOOKUP(MID(F19,1,1),'Radio Data'!$B$4:$C$29,2)&amp;"  "&amp;VLOOKUP(MID(F19,2,1),'Radio Data'!$B$4:$C$29,2)&amp;" "&amp;VLOOKUP(MID(F19,3,1),'Radio Data'!$B$4:$C$29,2),"")</f>
      </c>
    </row>
    <row r="20" spans="2:9" ht="15">
      <c r="B20" s="55" t="s">
        <v>118</v>
      </c>
      <c r="C20" s="53" t="s">
        <v>119</v>
      </c>
      <c r="E20" s="58"/>
      <c r="F20" s="58"/>
      <c r="G20" s="58"/>
      <c r="H20" s="59"/>
      <c r="I20" s="60">
        <f>IF(G20="VOR",VLOOKUP(MID(F20,1,1),'Radio Data'!$B$4:$C$29,2)&amp;"  "&amp;VLOOKUP(MID(F20,2,1),'Radio Data'!$B$4:$C$29,2)&amp;" "&amp;VLOOKUP(MID(F20,3,1),'Radio Data'!$B$4:$C$29,2),"")</f>
      </c>
    </row>
    <row r="21" spans="2:9" ht="15">
      <c r="B21" s="55" t="s">
        <v>120</v>
      </c>
      <c r="C21" s="53" t="s">
        <v>121</v>
      </c>
      <c r="E21" s="58"/>
      <c r="F21" s="58"/>
      <c r="G21" s="58"/>
      <c r="H21" s="59"/>
      <c r="I21" s="60">
        <f>IF(G21="VOR",VLOOKUP(MID(F21,1,1),'Radio Data'!$B$4:$C$29,2)&amp;"  "&amp;VLOOKUP(MID(F21,2,1),'Radio Data'!$B$4:$C$29,2)&amp;" "&amp;VLOOKUP(MID(F21,3,1),'Radio Data'!$B$4:$C$29,2),"")</f>
      </c>
    </row>
    <row r="22" spans="2:9" ht="15">
      <c r="B22" s="55" t="s">
        <v>122</v>
      </c>
      <c r="C22" s="53" t="s">
        <v>123</v>
      </c>
      <c r="E22" s="58"/>
      <c r="F22" s="58"/>
      <c r="G22" s="58"/>
      <c r="H22" s="59"/>
      <c r="I22" s="60">
        <f>IF(G22="VOR",VLOOKUP(MID(F22,1,1),'Radio Data'!$B$4:$C$29,2)&amp;"  "&amp;VLOOKUP(MID(F22,2,1),'Radio Data'!$B$4:$C$29,2)&amp;" "&amp;VLOOKUP(MID(F22,3,1),'Radio Data'!$B$4:$C$29,2),"")</f>
      </c>
    </row>
    <row r="23" spans="2:3" ht="15">
      <c r="B23" s="55" t="s">
        <v>124</v>
      </c>
      <c r="C23" s="53" t="s">
        <v>125</v>
      </c>
    </row>
    <row r="24" spans="2:3" ht="15">
      <c r="B24" s="55" t="s">
        <v>126</v>
      </c>
      <c r="C24" s="53" t="s">
        <v>127</v>
      </c>
    </row>
    <row r="25" spans="2:3" ht="15">
      <c r="B25" s="55" t="s">
        <v>128</v>
      </c>
      <c r="C25" s="53" t="s">
        <v>129</v>
      </c>
    </row>
    <row r="26" spans="2:3" ht="15">
      <c r="B26" s="55" t="s">
        <v>130</v>
      </c>
      <c r="C26" s="53" t="s">
        <v>131</v>
      </c>
    </row>
    <row r="27" spans="2:3" ht="15">
      <c r="B27" s="55" t="s">
        <v>132</v>
      </c>
      <c r="C27" s="53" t="s">
        <v>133</v>
      </c>
    </row>
    <row r="28" spans="2:3" ht="15">
      <c r="B28" s="55" t="s">
        <v>134</v>
      </c>
      <c r="C28" s="53" t="s">
        <v>135</v>
      </c>
    </row>
    <row r="29" spans="2:3" ht="15">
      <c r="B29" s="55" t="s">
        <v>136</v>
      </c>
      <c r="C29" s="53" t="s">
        <v>137</v>
      </c>
    </row>
  </sheetData>
  <sheetProtection selectLockedCells="1" selectUnlockedCells="1"/>
  <printOptions/>
  <pageMargins left="0.39375" right="0.39375" top="0.39375" bottom="0.5527777777777778" header="0.5118055555555555" footer="0.31527777777777777"/>
  <pageSetup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F15" sqref="F15"/>
    </sheetView>
  </sheetViews>
  <sheetFormatPr defaultColWidth="11.57421875" defaultRowHeight="12.75"/>
  <cols>
    <col min="1" max="1" width="11.57421875" style="0" customWidth="1"/>
    <col min="2" max="2" width="33.57421875" style="0" customWidth="1"/>
    <col min="3" max="3" width="5.28125" style="0" customWidth="1"/>
    <col min="4" max="5" width="5.28125" style="61" customWidth="1"/>
    <col min="6" max="6" width="5.28125" style="62" customWidth="1"/>
    <col min="7" max="8" width="5.28125" style="61" customWidth="1"/>
    <col min="9" max="9" width="1.421875" style="63" customWidth="1"/>
    <col min="10" max="11" width="9.00390625" style="64" customWidth="1"/>
  </cols>
  <sheetData>
    <row r="2" spans="3:8" ht="12.75">
      <c r="C2" s="84" t="s">
        <v>138</v>
      </c>
      <c r="D2" s="84"/>
      <c r="E2" s="84"/>
      <c r="F2" s="84"/>
      <c r="G2" s="84"/>
      <c r="H2" s="84"/>
    </row>
    <row r="3" spans="3:8" ht="12.75">
      <c r="C3" s="79" t="s">
        <v>139</v>
      </c>
      <c r="D3" s="79"/>
      <c r="E3" s="79"/>
      <c r="F3" s="85" t="s">
        <v>140</v>
      </c>
      <c r="G3" s="85"/>
      <c r="H3" s="85"/>
    </row>
    <row r="4" spans="1:11" ht="12.75">
      <c r="A4" s="65" t="s">
        <v>52</v>
      </c>
      <c r="B4" s="66" t="s">
        <v>141</v>
      </c>
      <c r="C4" s="67" t="s">
        <v>142</v>
      </c>
      <c r="D4" s="68" t="str">
        <f>"m"</f>
        <v>m</v>
      </c>
      <c r="E4" s="68" t="str">
        <f>"s"</f>
        <v>s</v>
      </c>
      <c r="F4" s="69" t="s">
        <v>142</v>
      </c>
      <c r="G4" s="68" t="str">
        <f>"m"</f>
        <v>m</v>
      </c>
      <c r="H4" s="68" t="str">
        <f>"s"</f>
        <v>s</v>
      </c>
      <c r="J4" s="70" t="s">
        <v>143</v>
      </c>
      <c r="K4" s="70" t="s">
        <v>144</v>
      </c>
    </row>
    <row r="6" spans="1:11" ht="12.75">
      <c r="A6" t="s">
        <v>71</v>
      </c>
      <c r="B6" t="s">
        <v>70</v>
      </c>
      <c r="C6">
        <v>51</v>
      </c>
      <c r="D6" s="61">
        <v>43</v>
      </c>
      <c r="E6" s="61">
        <v>30</v>
      </c>
      <c r="F6" s="62">
        <v>0</v>
      </c>
      <c r="G6" s="61">
        <v>33</v>
      </c>
      <c r="H6" s="61">
        <v>0</v>
      </c>
      <c r="J6" s="64">
        <f aca="true" t="shared" si="0" ref="J6:J20">RADIANS(C6+(D6/60)+(E6/3600))</f>
        <v>0.902771555594067</v>
      </c>
      <c r="K6" s="64">
        <f aca="true" t="shared" si="1" ref="K6:K20">RADIANS(F6+(G6/60)+(H6/3600))</f>
        <v>0.009599310885968814</v>
      </c>
    </row>
    <row r="7" spans="1:11" ht="12.75">
      <c r="A7" t="s">
        <v>145</v>
      </c>
      <c r="B7" t="s">
        <v>146</v>
      </c>
      <c r="C7">
        <v>51</v>
      </c>
      <c r="D7" s="61">
        <v>43</v>
      </c>
      <c r="E7" s="61">
        <v>30</v>
      </c>
      <c r="F7" s="62">
        <v>0</v>
      </c>
      <c r="G7" s="61">
        <v>50</v>
      </c>
      <c r="H7" s="61">
        <v>0</v>
      </c>
      <c r="J7" s="64">
        <f t="shared" si="0"/>
        <v>0.902771555594067</v>
      </c>
      <c r="K7" s="64">
        <f t="shared" si="1"/>
        <v>0.01454441043328608</v>
      </c>
    </row>
    <row r="8" spans="1:11" ht="12.75">
      <c r="A8" t="s">
        <v>147</v>
      </c>
      <c r="B8" t="s">
        <v>93</v>
      </c>
      <c r="C8">
        <v>52</v>
      </c>
      <c r="D8" s="61">
        <v>2</v>
      </c>
      <c r="E8" s="61">
        <v>27</v>
      </c>
      <c r="F8" s="62">
        <v>1</v>
      </c>
      <c r="G8" s="61">
        <v>5</v>
      </c>
      <c r="H8" s="61">
        <v>44</v>
      </c>
      <c r="J8" s="64">
        <f t="shared" si="0"/>
        <v>0.9082838871482823</v>
      </c>
      <c r="K8" s="64">
        <f t="shared" si="1"/>
        <v>0.019121051582960097</v>
      </c>
    </row>
    <row r="9" spans="1:11" ht="12.75">
      <c r="A9" t="s">
        <v>147</v>
      </c>
      <c r="B9" t="s">
        <v>148</v>
      </c>
      <c r="C9">
        <v>51</v>
      </c>
      <c r="D9" s="61">
        <v>56</v>
      </c>
      <c r="E9" s="61">
        <v>30</v>
      </c>
      <c r="F9" s="62">
        <v>0</v>
      </c>
      <c r="G9" s="61">
        <v>52</v>
      </c>
      <c r="H9" s="61">
        <v>0</v>
      </c>
      <c r="J9" s="64">
        <f t="shared" si="0"/>
        <v>0.9065531023067213</v>
      </c>
      <c r="K9" s="64">
        <f t="shared" si="1"/>
        <v>0.015126186850617522</v>
      </c>
    </row>
    <row r="10" spans="1:11" ht="12.75">
      <c r="A10" t="s">
        <v>147</v>
      </c>
      <c r="B10" t="s">
        <v>149</v>
      </c>
      <c r="C10">
        <v>52</v>
      </c>
      <c r="D10" s="61">
        <v>4</v>
      </c>
      <c r="E10" s="61">
        <v>17</v>
      </c>
      <c r="F10" s="62">
        <v>1</v>
      </c>
      <c r="G10" s="61">
        <v>1</v>
      </c>
      <c r="H10" s="61">
        <v>0</v>
      </c>
      <c r="J10" s="64">
        <f t="shared" si="0"/>
        <v>0.9088171821975028</v>
      </c>
      <c r="K10" s="64">
        <f t="shared" si="1"/>
        <v>0.017744180728609015</v>
      </c>
    </row>
    <row r="11" spans="1:11" ht="12.75">
      <c r="A11" t="s">
        <v>150</v>
      </c>
      <c r="B11" t="s">
        <v>151</v>
      </c>
      <c r="C11">
        <v>51</v>
      </c>
      <c r="D11" s="61">
        <v>38</v>
      </c>
      <c r="E11" s="61">
        <v>2</v>
      </c>
      <c r="F11" s="62">
        <v>0</v>
      </c>
      <c r="G11" s="61">
        <v>34</v>
      </c>
      <c r="H11" s="61">
        <v>1</v>
      </c>
      <c r="J11" s="64">
        <f t="shared" si="0"/>
        <v>0.9011813667200277</v>
      </c>
      <c r="K11" s="64">
        <f t="shared" si="1"/>
        <v>0.00989504723144563</v>
      </c>
    </row>
    <row r="12" spans="1:11" ht="12.75">
      <c r="A12" t="s">
        <v>150</v>
      </c>
      <c r="B12" t="s">
        <v>152</v>
      </c>
      <c r="C12">
        <v>51</v>
      </c>
      <c r="D12" s="61">
        <v>37</v>
      </c>
      <c r="E12" s="61">
        <v>46</v>
      </c>
      <c r="F12" s="62">
        <v>0</v>
      </c>
      <c r="G12" s="61">
        <v>30</v>
      </c>
      <c r="H12" s="61">
        <v>15</v>
      </c>
      <c r="J12" s="64">
        <f t="shared" si="0"/>
        <v>0.9011037965310502</v>
      </c>
      <c r="K12" s="64">
        <f t="shared" si="1"/>
        <v>0.008799368312138078</v>
      </c>
    </row>
    <row r="13" spans="1:11" ht="12.75">
      <c r="A13" t="s">
        <v>147</v>
      </c>
      <c r="B13" t="s">
        <v>74</v>
      </c>
      <c r="C13">
        <v>51</v>
      </c>
      <c r="D13" s="61">
        <v>35</v>
      </c>
      <c r="E13" s="61">
        <v>18</v>
      </c>
      <c r="F13" s="62">
        <v>0</v>
      </c>
      <c r="G13" s="61">
        <v>30</v>
      </c>
      <c r="H13" s="61">
        <v>47</v>
      </c>
      <c r="J13" s="64">
        <f t="shared" si="0"/>
        <v>0.9003862722830082</v>
      </c>
      <c r="K13" s="64">
        <f t="shared" si="1"/>
        <v>0.00895450869009313</v>
      </c>
    </row>
    <row r="14" spans="2:11" ht="12.75">
      <c r="B14" t="s">
        <v>153</v>
      </c>
      <c r="C14">
        <v>18</v>
      </c>
      <c r="D14" s="61">
        <v>40</v>
      </c>
      <c r="E14" s="61">
        <v>0</v>
      </c>
      <c r="F14" s="62">
        <v>21</v>
      </c>
      <c r="G14" s="61">
        <v>10</v>
      </c>
      <c r="H14" s="61">
        <v>10</v>
      </c>
      <c r="J14" s="64">
        <f t="shared" si="0"/>
        <v>0.3257947937056082</v>
      </c>
      <c r="K14" s="64">
        <f t="shared" si="1"/>
        <v>0.3694765063735774</v>
      </c>
    </row>
    <row r="15" spans="10:11" ht="12.75">
      <c r="J15" s="64">
        <f t="shared" si="0"/>
        <v>0</v>
      </c>
      <c r="K15" s="64">
        <f t="shared" si="1"/>
        <v>0</v>
      </c>
    </row>
    <row r="16" spans="10:11" ht="12.75">
      <c r="J16" s="64">
        <f t="shared" si="0"/>
        <v>0</v>
      </c>
      <c r="K16" s="64">
        <f t="shared" si="1"/>
        <v>0</v>
      </c>
    </row>
    <row r="17" spans="10:11" ht="12.75">
      <c r="J17" s="64">
        <f t="shared" si="0"/>
        <v>0</v>
      </c>
      <c r="K17" s="64">
        <f t="shared" si="1"/>
        <v>0</v>
      </c>
    </row>
    <row r="18" spans="10:11" ht="12.75">
      <c r="J18" s="64">
        <f t="shared" si="0"/>
        <v>0</v>
      </c>
      <c r="K18" s="64">
        <f t="shared" si="1"/>
        <v>0</v>
      </c>
    </row>
    <row r="19" spans="10:11" ht="12.75">
      <c r="J19" s="64">
        <f t="shared" si="0"/>
        <v>0</v>
      </c>
      <c r="K19" s="64">
        <f t="shared" si="1"/>
        <v>0</v>
      </c>
    </row>
    <row r="20" spans="10:11" ht="12.75">
      <c r="J20" s="64">
        <f t="shared" si="0"/>
        <v>0</v>
      </c>
      <c r="K20" s="64">
        <f t="shared" si="1"/>
        <v>0</v>
      </c>
    </row>
  </sheetData>
  <sheetProtection selectLockedCells="1" selectUnlockedCells="1"/>
  <mergeCells count="3">
    <mergeCell ref="C2:H2"/>
    <mergeCell ref="C3:E3"/>
    <mergeCell ref="F3:H3"/>
  </mergeCells>
  <printOptions/>
  <pageMargins left="0.39375" right="0.39375" top="0.39375" bottom="0.5527777777777778" header="0.5118055555555555" footer="0.31527777777777777"/>
  <pageSetup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Banks</dc:creator>
  <cp:keywords/>
  <dc:description/>
  <cp:lastModifiedBy>Paul Banks</cp:lastModifiedBy>
  <cp:lastPrinted>2011-11-19T14:58:40Z</cp:lastPrinted>
  <dcterms:created xsi:type="dcterms:W3CDTF">2011-11-19T15:01:34Z</dcterms:created>
  <dcterms:modified xsi:type="dcterms:W3CDTF">2011-11-19T15:01:34Z</dcterms:modified>
  <cp:category/>
  <cp:version/>
  <cp:contentType/>
  <cp:contentStatus/>
</cp:coreProperties>
</file>