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5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<sst xmlns="http://schemas.openxmlformats.org/spreadsheetml/2006/main" count="76" uniqueCount="61">
  <si>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UK Taxation</t>
  </si>
  <si>
    <t>2015 to 2016</t>
  </si>
  <si>
    <t xml:space="preserve"> </t>
  </si>
  <si>
    <t>Annual Income (Gross)</t>
  </si>
  <si>
    <t>Monthly take home pay :</t>
  </si>
  <si>
    <t>Total PAYE tax (income + NI)</t>
  </si>
  <si>
    <t>Weekly take home pay :</t>
  </si>
  <si>
    <t>Total National Insurance</t>
  </si>
  <si>
    <t>Student Loan Payment</t>
  </si>
  <si>
    <t>If you find this spreadsheet useful, please consider making a donation</t>
  </si>
  <si>
    <t>Total deductions</t>
  </si>
  <si>
    <t>towards my costs at http://paulbanks.org/donate/</t>
  </si>
  <si>
    <t>NET PAY</t>
  </si>
  <si>
    <t>Age</t>
  </si>
  <si>
    <t xml:space="preserve"> years</t>
  </si>
  <si>
    <t>No</t>
  </si>
  <si>
    <t>(Yes/No)</t>
  </si>
  <si>
    <t>Blind</t>
  </si>
  <si>
    <t>Pension Contributions</t>
  </si>
  <si>
    <t xml:space="preserve"> per year</t>
  </si>
  <si>
    <t>Personal Allowance</t>
  </si>
  <si>
    <t>Basic</t>
  </si>
  <si>
    <t>Age related contribution</t>
  </si>
  <si>
    <t>Age 65-74</t>
  </si>
  <si>
    <t>Age related taper deduction</t>
  </si>
  <si>
    <t>Age 75 and over</t>
  </si>
  <si>
    <t>Allowance after age adjust</t>
  </si>
  <si>
    <t>Blind persons allowance</t>
  </si>
  <si>
    <t>Taper deduction</t>
  </si>
  <si>
    <t>Age related threshold</t>
  </si>
  <si>
    <t>Taper threshold</t>
  </si>
  <si>
    <t>Income Tax</t>
  </si>
  <si>
    <t>Taxable Income</t>
  </si>
  <si>
    <t>Total Allowances</t>
  </si>
  <si>
    <t>Tax</t>
  </si>
  <si>
    <t>Carry Over</t>
  </si>
  <si>
    <t>Rate</t>
  </si>
  <si>
    <t>Start of Band</t>
  </si>
  <si>
    <t>End of Band</t>
  </si>
  <si>
    <t>Difference</t>
  </si>
  <si>
    <t>*</t>
  </si>
  <si>
    <t>Total Income Tax</t>
  </si>
  <si>
    <t>* The 10% rate only applies to savings so it is zeroed.</t>
  </si>
  <si>
    <t>National Insurance</t>
  </si>
  <si>
    <t>Weekly Income (Gross)</t>
  </si>
  <si>
    <t>State Pension Age</t>
  </si>
  <si>
    <t>Total Weekly NI</t>
  </si>
  <si>
    <t>Age related deduction</t>
  </si>
  <si>
    <t>Total Annual NI</t>
  </si>
  <si>
    <t>Student Loan Repayment</t>
  </si>
  <si>
    <t>Income above threshold</t>
  </si>
  <si>
    <t>Repayment Threshold</t>
  </si>
  <si>
    <t>Repayment (if applicable)</t>
  </si>
  <si>
    <t>Repayment Rate</t>
  </si>
  <si>
    <t>Copyright (c) 2002-2015 PaulBanks.org, Some rights reserved</t>
  </si>
  <si>
    <r>
      <t>See :</t>
    </r>
    <r>
      <rPr>
        <i/>
        <sz val="10"/>
        <color indexed="12"/>
        <rFont val="Luxi Sans"/>
        <family val="2"/>
      </rPr>
      <t>http://creativecommons.org/licenses/by-nc-sa/2.0/uk/</t>
    </r>
    <r>
      <rPr>
        <i/>
        <sz val="10"/>
        <rFont val="Luxi Sans"/>
        <family val="2"/>
      </rPr>
      <t xml:space="preserve"> for 'license' information</t>
    </r>
  </si>
  <si>
    <t>WARNING: This spreadsheet, and accompanying documentation, is distributed in the hope that it will be useful, 
but WITHOUT ANY WARRANTY; without even the implied warranty of MERCHANTABILITY or  FITNESS FOR A PARTICULAR PURPOSE. 
The author is not a qualified accountant and this spreadsheet does not  constitute any form of financial or legal advice and should not be
used for this purpose</t>
  </si>
  <si>
    <t>Usage instructions.</t>
  </si>
  <si>
    <t>2) Correct details for age, student loan, etc</t>
  </si>
  <si>
    <t>4) Editable fields are highlighted so you can alter any other aspect of the sheet using them.</t>
  </si>
  <si>
    <t>5) If you want to edit the entire sheet, un-protect the cells using the spreadsheet menu. There is no password.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</si>
</sst>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[$£-809]#,##0.00;[RED]\-[$£-809]#,##0.00"/>
    <numFmt numFmtId="167" formatCode="0.00%"/>
  </numFmts>
  <fonts count="13">
    <font>
      <sz val="10"/>
      <name val="Luxi Sans"/>
      <family val="2"/>
    </font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Luxi Sans"/>
      <family val="2"/>
    </font>
    <font>
      <i/>
      <sz val="10"/>
      <color indexed="12"/>
      <name val="Luxi Sans"/>
      <family val="2"/>
    </font>
    <font>
      <i/>
      <sz val="10"/>
      <name val="Luxi Sans"/>
      <family val="2"/>
    </font>
    <font>
      <b/>
      <sz val="14"/>
      <name val="Arial"/>
      <family val="2"/>
    </font>
    <font>
      <b/>
      <i/>
      <sz val="10"/>
      <name val="Luxi Sans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Luxi Sans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/>
      <protection locked="0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4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4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5" fontId="3" fillId="0" borderId="0" xfId="0" applyNumberFormat="1" applyFont="1" applyAlignment="1">
      <alignment/>
    </xf>
    <xf numFmtId="164" fontId="0" fillId="2" borderId="0" xfId="0" applyNumberForma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0" fillId="2" borderId="0" xfId="0" applyNumberFormat="1" applyFont="1" applyFill="1" applyAlignment="1" applyProtection="1">
      <alignment horizontal="right"/>
      <protection locked="0"/>
    </xf>
    <xf numFmtId="164" fontId="1" fillId="4" borderId="0" xfId="0" applyFont="1" applyFill="1" applyAlignment="1">
      <alignment/>
    </xf>
    <xf numFmtId="164" fontId="6" fillId="4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1" fillId="5" borderId="0" xfId="0" applyFont="1" applyFill="1" applyAlignment="1">
      <alignment/>
    </xf>
    <xf numFmtId="164" fontId="6" fillId="5" borderId="0" xfId="0" applyFont="1" applyFill="1" applyAlignment="1">
      <alignment/>
    </xf>
    <xf numFmtId="165" fontId="8" fillId="0" borderId="0" xfId="0" applyNumberFormat="1" applyFont="1" applyAlignment="1">
      <alignment/>
    </xf>
    <xf numFmtId="164" fontId="0" fillId="6" borderId="0" xfId="0" applyFill="1" applyAlignment="1">
      <alignment/>
    </xf>
    <xf numFmtId="164" fontId="9" fillId="0" borderId="0" xfId="0" applyFont="1" applyAlignment="1">
      <alignment wrapText="1"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NumberFormat="1" applyAlignment="1">
      <alignment/>
    </xf>
    <xf numFmtId="167" fontId="0" fillId="2" borderId="0" xfId="0" applyNumberForma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11" fillId="0" borderId="0" xfId="0" applyNumberFormat="1" applyFont="1" applyAlignment="1">
      <alignment/>
    </xf>
    <xf numFmtId="164" fontId="0" fillId="7" borderId="0" xfId="0" applyFill="1" applyAlignment="1">
      <alignment/>
    </xf>
    <xf numFmtId="164" fontId="6" fillId="7" borderId="0" xfId="0" applyFont="1" applyFill="1" applyAlignment="1">
      <alignment/>
    </xf>
    <xf numFmtId="164" fontId="1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0" fillId="8" borderId="0" xfId="0" applyFill="1" applyAlignment="1">
      <alignment/>
    </xf>
    <xf numFmtId="164" fontId="6" fillId="8" borderId="0" xfId="0" applyFont="1" applyFill="1" applyAlignment="1">
      <alignment/>
    </xf>
    <xf numFmtId="164" fontId="12" fillId="0" borderId="7" xfId="0" applyFont="1" applyFill="1" applyBorder="1" applyAlignment="1">
      <alignment wrapText="1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ulbanks.org/donate/" TargetMode="External" /><Relationship Id="rId2" Type="http://schemas.openxmlformats.org/officeDocument/2006/relationships/hyperlink" Target="http://creativecommons.org/licenses/by-nc-sa/2.0/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C3" sqref="C3"/>
    </sheetView>
  </sheetViews>
  <sheetFormatPr defaultColWidth="10.00390625" defaultRowHeight="12.75"/>
  <cols>
    <col min="2" max="2" width="26.875" style="0" customWidth="1"/>
    <col min="3" max="4" width="13.375" style="0" customWidth="1"/>
    <col min="5" max="5" width="1.25" style="0" customWidth="1"/>
    <col min="6" max="6" width="21.50390625" style="0" customWidth="1"/>
    <col min="7" max="8" width="13.375" style="0" customWidth="1"/>
    <col min="9" max="9" width="14.625" style="0" customWidth="1"/>
  </cols>
  <sheetData>
    <row r="1" spans="2:3" ht="24">
      <c r="B1" s="1" t="s">
        <v>0</v>
      </c>
      <c r="C1" s="2" t="s">
        <v>1</v>
      </c>
    </row>
    <row r="2" spans="2:3" ht="9.75" customHeight="1">
      <c r="B2" s="1"/>
      <c r="C2" t="s">
        <v>2</v>
      </c>
    </row>
    <row r="3" spans="2:8" ht="12">
      <c r="B3" t="s">
        <v>3</v>
      </c>
      <c r="C3" s="3">
        <v>30000</v>
      </c>
      <c r="D3" t="s">
        <v>2</v>
      </c>
      <c r="F3" s="4" t="s">
        <v>4</v>
      </c>
      <c r="G3" s="4"/>
      <c r="H3" s="5">
        <f>C8/12</f>
        <v>1957.26666666667</v>
      </c>
    </row>
    <row r="4" spans="2:8" ht="12">
      <c r="B4" t="s">
        <v>5</v>
      </c>
      <c r="C4" s="5">
        <f>C38</f>
        <v>3880</v>
      </c>
      <c r="F4" s="6" t="s">
        <v>6</v>
      </c>
      <c r="G4" s="6"/>
      <c r="H4" s="5">
        <f>C8/52</f>
        <v>451.676923076923</v>
      </c>
    </row>
    <row r="5" spans="2:3" ht="12">
      <c r="B5" t="s">
        <v>7</v>
      </c>
      <c r="C5" s="5">
        <f>C51</f>
        <v>2632.8</v>
      </c>
    </row>
    <row r="6" spans="2:9" ht="12">
      <c r="B6" t="s">
        <v>8</v>
      </c>
      <c r="C6" s="5">
        <f>IF(UPPER(LEFT(C11,1))="Y",C56,0)</f>
        <v>0</v>
      </c>
      <c r="F6" s="7" t="s">
        <v>9</v>
      </c>
      <c r="G6" s="8"/>
      <c r="H6" s="8"/>
      <c r="I6" s="9"/>
    </row>
    <row r="7" spans="2:9" ht="12">
      <c r="B7" t="s">
        <v>10</v>
      </c>
      <c r="C7" s="5">
        <f>C6+C5+C4</f>
        <v>6512.8</v>
      </c>
      <c r="F7" s="10" t="s">
        <v>11</v>
      </c>
      <c r="G7" s="11"/>
      <c r="H7" s="11"/>
      <c r="I7" s="12"/>
    </row>
    <row r="8" spans="2:3" ht="12">
      <c r="B8" s="4" t="s">
        <v>12</v>
      </c>
      <c r="C8" s="13">
        <f>C3-C7-C13</f>
        <v>23487.2</v>
      </c>
    </row>
    <row r="9" ht="7.5" customHeight="1"/>
    <row r="10" spans="2:4" ht="12">
      <c r="B10" t="s">
        <v>13</v>
      </c>
      <c r="C10" s="14">
        <v>30</v>
      </c>
      <c r="D10" s="15" t="s">
        <v>14</v>
      </c>
    </row>
    <row r="11" spans="2:4" ht="12">
      <c r="B11" t="s">
        <v>8</v>
      </c>
      <c r="C11" s="16" t="s">
        <v>15</v>
      </c>
      <c r="D11" s="15" t="s">
        <v>16</v>
      </c>
    </row>
    <row r="12" spans="2:4" ht="12">
      <c r="B12" t="s">
        <v>17</v>
      </c>
      <c r="C12" s="16" t="s">
        <v>15</v>
      </c>
      <c r="D12" s="15" t="s">
        <v>16</v>
      </c>
    </row>
    <row r="13" spans="2:4" ht="12">
      <c r="B13" t="s">
        <v>18</v>
      </c>
      <c r="C13" s="3">
        <v>0</v>
      </c>
      <c r="D13" s="15" t="s">
        <v>19</v>
      </c>
    </row>
    <row r="15" spans="1:9" ht="16.5">
      <c r="A15" s="17"/>
      <c r="B15" s="18" t="s">
        <v>20</v>
      </c>
      <c r="C15" s="17"/>
      <c r="D15" s="17"/>
      <c r="E15" s="17"/>
      <c r="F15" s="17"/>
      <c r="G15" s="17"/>
      <c r="H15" s="17"/>
      <c r="I15" s="17"/>
    </row>
    <row r="17" spans="2:7" ht="12.75">
      <c r="B17" t="s">
        <v>21</v>
      </c>
      <c r="C17" s="19">
        <f>G17</f>
        <v>10600</v>
      </c>
      <c r="F17" t="s">
        <v>21</v>
      </c>
      <c r="G17" s="3">
        <v>10600</v>
      </c>
    </row>
    <row r="18" spans="2:7" ht="12.75">
      <c r="B18" t="s">
        <v>22</v>
      </c>
      <c r="C18" s="19">
        <f>(IF(C10&lt;65,0,IF(C10&lt;75,G18-G17,G19-G17)))</f>
        <v>0</v>
      </c>
      <c r="F18" t="s">
        <v>23</v>
      </c>
      <c r="G18" s="3">
        <v>10600</v>
      </c>
    </row>
    <row r="19" spans="2:7" ht="12.75">
      <c r="B19" t="s">
        <v>24</v>
      </c>
      <c r="C19" s="19">
        <f>IF((C3-G22)&lt;0,0,IF((C3-G22)/2&gt;C18,C18,(C3-G22)/2))</f>
        <v>0</v>
      </c>
      <c r="F19" t="s">
        <v>25</v>
      </c>
      <c r="G19" s="3">
        <v>10660</v>
      </c>
    </row>
    <row r="20" spans="2:7" ht="12.75">
      <c r="B20" t="s">
        <v>26</v>
      </c>
      <c r="C20" s="19">
        <f>C17+C18-C19</f>
        <v>10600</v>
      </c>
      <c r="F20" t="s">
        <v>27</v>
      </c>
      <c r="G20" s="3">
        <v>2290</v>
      </c>
    </row>
    <row r="21" ht="12.75">
      <c r="C21" s="19"/>
    </row>
    <row r="22" spans="2:7" ht="12.75">
      <c r="B22" t="s">
        <v>28</v>
      </c>
      <c r="C22" s="20">
        <f>IF(((C3-C13)-G23)&lt;0,0,IF(((C3-C13)-G23)/2&gt;C20,C20,((C3-C13)-G23)/2))</f>
        <v>0</v>
      </c>
      <c r="F22" t="s">
        <v>29</v>
      </c>
      <c r="G22" s="3">
        <v>27700</v>
      </c>
    </row>
    <row r="23" spans="3:7" ht="12.75">
      <c r="C23" s="19"/>
      <c r="F23" t="s">
        <v>30</v>
      </c>
      <c r="G23" s="3">
        <v>100000</v>
      </c>
    </row>
    <row r="24" spans="2:3" ht="12.75">
      <c r="B24" s="21" t="s">
        <v>20</v>
      </c>
      <c r="C24" s="22">
        <f>C20-C22</f>
        <v>10600</v>
      </c>
    </row>
    <row r="26" spans="1:9" ht="16.5">
      <c r="A26" s="23"/>
      <c r="B26" s="24" t="s">
        <v>31</v>
      </c>
      <c r="C26" s="23"/>
      <c r="D26" s="23"/>
      <c r="E26" s="23"/>
      <c r="F26" s="23"/>
      <c r="G26" s="23"/>
      <c r="H26" s="23"/>
      <c r="I26" s="23"/>
    </row>
    <row r="27" spans="3:8" ht="12">
      <c r="C27" s="25"/>
      <c r="E27" s="26"/>
      <c r="H27" s="27"/>
    </row>
    <row r="28" spans="2:7" ht="12">
      <c r="B28" s="28" t="s">
        <v>32</v>
      </c>
      <c r="C28" s="25">
        <f>C3-G30-C13</f>
        <v>19400</v>
      </c>
      <c r="E28" s="26"/>
      <c r="F28" t="s">
        <v>20</v>
      </c>
      <c r="G28" s="19">
        <f>C24</f>
        <v>10600</v>
      </c>
    </row>
    <row r="29" spans="2:7" ht="12.75">
      <c r="B29" s="28"/>
      <c r="C29" s="25"/>
      <c r="E29" s="26"/>
      <c r="F29" t="s">
        <v>27</v>
      </c>
      <c r="G29" s="19">
        <f>IF(UPPER(LEFT(C12,1))="Y",G20,0)</f>
        <v>0</v>
      </c>
    </row>
    <row r="30" spans="2:7" ht="12">
      <c r="B30" s="28"/>
      <c r="C30" s="25"/>
      <c r="E30" s="26"/>
      <c r="F30" t="s">
        <v>33</v>
      </c>
      <c r="G30" s="19">
        <f>G29+G28</f>
        <v>10600</v>
      </c>
    </row>
    <row r="31" spans="4:5" ht="12">
      <c r="D31" s="5"/>
      <c r="E31" s="26"/>
    </row>
    <row r="32" spans="3:9" ht="12">
      <c r="C32" s="29" t="s">
        <v>34</v>
      </c>
      <c r="D32" s="30" t="s">
        <v>35</v>
      </c>
      <c r="E32" s="26"/>
      <c r="F32" s="29" t="s">
        <v>36</v>
      </c>
      <c r="G32" s="29" t="s">
        <v>37</v>
      </c>
      <c r="H32" s="29" t="s">
        <v>38</v>
      </c>
      <c r="I32" s="28" t="s">
        <v>39</v>
      </c>
    </row>
    <row r="33" spans="2:10" ht="12">
      <c r="B33" s="31">
        <f aca="true" t="shared" si="0" ref="B33:B36">F33*100&amp;"% Rate"</f>
        <v>0</v>
      </c>
      <c r="C33" s="5">
        <f>IF(C28&gt;=G33,IF(C28&gt;=I33,I33*F33,C28*F33),0)</f>
        <v>0</v>
      </c>
      <c r="D33" s="25">
        <f>IF((C28-I33)&gt;0,C28-I33,0)</f>
        <v>19400</v>
      </c>
      <c r="E33" s="26"/>
      <c r="F33" s="32">
        <v>0</v>
      </c>
      <c r="G33" s="3">
        <v>0</v>
      </c>
      <c r="H33" s="3">
        <v>0</v>
      </c>
      <c r="I33" s="25">
        <f aca="true" t="shared" si="1" ref="I33:I34">H33-G33</f>
        <v>0</v>
      </c>
      <c r="J33" t="s">
        <v>40</v>
      </c>
    </row>
    <row r="34" spans="2:9" ht="12">
      <c r="B34" s="31">
        <f t="shared" si="0"/>
        <v>0</v>
      </c>
      <c r="C34" s="5">
        <f aca="true" t="shared" si="2" ref="C34:C36">IF(D33&gt;0,IF(D33&gt;=I34,I34*F34,D33*F34),0)</f>
        <v>3880</v>
      </c>
      <c r="D34" s="25">
        <f aca="true" t="shared" si="3" ref="D34:D36">IF((D33-I34)&gt;0,D33-I34,0)</f>
        <v>0</v>
      </c>
      <c r="E34" s="26"/>
      <c r="F34" s="32">
        <v>0.2</v>
      </c>
      <c r="G34" s="5">
        <f>IF(H33&gt;=1,H33+1,H33)</f>
        <v>0</v>
      </c>
      <c r="H34" s="3">
        <v>31785</v>
      </c>
      <c r="I34" s="25">
        <f t="shared" si="1"/>
        <v>31785</v>
      </c>
    </row>
    <row r="35" spans="2:9" ht="12">
      <c r="B35" s="31">
        <f t="shared" si="0"/>
        <v>0</v>
      </c>
      <c r="C35" s="5">
        <f t="shared" si="2"/>
        <v>0</v>
      </c>
      <c r="D35" s="25">
        <f t="shared" si="3"/>
        <v>0</v>
      </c>
      <c r="E35" s="26"/>
      <c r="F35" s="32">
        <v>0.4</v>
      </c>
      <c r="G35" s="5">
        <f>H34+1</f>
        <v>31786</v>
      </c>
      <c r="H35" s="33">
        <v>150000</v>
      </c>
      <c r="I35" s="25">
        <f aca="true" t="shared" si="4" ref="I35:I36">H35-G35+1</f>
        <v>118215</v>
      </c>
    </row>
    <row r="36" spans="2:9" ht="12">
      <c r="B36" s="31">
        <f t="shared" si="0"/>
        <v>0</v>
      </c>
      <c r="C36" s="5">
        <f t="shared" si="2"/>
        <v>0</v>
      </c>
      <c r="D36" s="25">
        <f t="shared" si="3"/>
        <v>0</v>
      </c>
      <c r="E36" s="26"/>
      <c r="F36" s="32">
        <v>0.45</v>
      </c>
      <c r="G36" s="5">
        <f>H35</f>
        <v>150000</v>
      </c>
      <c r="H36" s="33">
        <v>99999999</v>
      </c>
      <c r="I36" s="25">
        <f t="shared" si="4"/>
        <v>99850000</v>
      </c>
    </row>
    <row r="37" ht="12">
      <c r="E37" s="26"/>
    </row>
    <row r="38" spans="2:6" ht="12">
      <c r="B38" s="30" t="s">
        <v>41</v>
      </c>
      <c r="C38" s="34">
        <f>SUM(C33:C36)</f>
        <v>3880</v>
      </c>
      <c r="E38" s="26"/>
      <c r="F38" t="s">
        <v>42</v>
      </c>
    </row>
    <row r="39" ht="12">
      <c r="E39" s="26"/>
    </row>
    <row r="40" spans="1:9" ht="16.5">
      <c r="A40" s="35"/>
      <c r="B40" s="36" t="s">
        <v>43</v>
      </c>
      <c r="C40" s="35"/>
      <c r="D40" s="35"/>
      <c r="E40" s="35"/>
      <c r="F40" s="35"/>
      <c r="G40" s="35"/>
      <c r="H40" s="35"/>
      <c r="I40" s="35"/>
    </row>
    <row r="41" ht="12">
      <c r="E41" s="26"/>
    </row>
    <row r="42" spans="2:8" ht="12">
      <c r="B42" t="s">
        <v>44</v>
      </c>
      <c r="C42" s="5">
        <f>C3/52</f>
        <v>576.923076923077</v>
      </c>
      <c r="E42" s="26"/>
      <c r="F42" t="s">
        <v>45</v>
      </c>
      <c r="G42" s="14">
        <v>65</v>
      </c>
      <c r="H42" s="15" t="s">
        <v>14</v>
      </c>
    </row>
    <row r="43" ht="12">
      <c r="E43" s="26"/>
    </row>
    <row r="44" spans="3:9" ht="12">
      <c r="C44" s="29" t="s">
        <v>34</v>
      </c>
      <c r="D44" s="30" t="s">
        <v>35</v>
      </c>
      <c r="E44" s="26"/>
      <c r="F44" s="29" t="s">
        <v>36</v>
      </c>
      <c r="G44" s="29" t="s">
        <v>37</v>
      </c>
      <c r="H44" s="29" t="s">
        <v>38</v>
      </c>
      <c r="I44" s="28" t="s">
        <v>39</v>
      </c>
    </row>
    <row r="45" spans="2:9" ht="12">
      <c r="B45" s="31">
        <f aca="true" t="shared" si="5" ref="B45:B47">F45*100&amp;"% Rate"</f>
        <v>0</v>
      </c>
      <c r="C45" s="5">
        <f>IF(C42&gt;=G45,IF(C42&gt;=I45,I45*F45,C42*F45),0)</f>
        <v>0</v>
      </c>
      <c r="D45" s="25">
        <f>IF((C42-I45)&gt;0,C42-I45,0)</f>
        <v>421.923076923077</v>
      </c>
      <c r="E45" s="26"/>
      <c r="F45" s="32">
        <v>0</v>
      </c>
      <c r="G45" s="3">
        <v>0</v>
      </c>
      <c r="H45" s="3">
        <v>155</v>
      </c>
      <c r="I45" s="25">
        <f>H45-G45</f>
        <v>155</v>
      </c>
    </row>
    <row r="46" spans="2:9" ht="12">
      <c r="B46" s="31">
        <f t="shared" si="5"/>
        <v>0</v>
      </c>
      <c r="C46" s="5">
        <f aca="true" t="shared" si="6" ref="C46:C47">IF(D45&gt;0,IF(D45&gt;=I46,I46*F46,D45*F46),0)</f>
        <v>50.6307692307692</v>
      </c>
      <c r="D46" s="25">
        <f aca="true" t="shared" si="7" ref="D46:D47">IF((D45-I46)&gt;0,D45-I46,0)</f>
        <v>0</v>
      </c>
      <c r="E46" s="26"/>
      <c r="F46" s="32">
        <v>0.12</v>
      </c>
      <c r="G46" s="5">
        <f aca="true" t="shared" si="8" ref="G46:G47">H45+0.01</f>
        <v>155.01</v>
      </c>
      <c r="H46" s="3">
        <v>815</v>
      </c>
      <c r="I46" s="25">
        <f aca="true" t="shared" si="9" ref="I46:I47">H46-G46+0.01</f>
        <v>660</v>
      </c>
    </row>
    <row r="47" spans="2:9" ht="12">
      <c r="B47" s="31">
        <f t="shared" si="5"/>
        <v>0</v>
      </c>
      <c r="C47" s="5">
        <f t="shared" si="6"/>
        <v>0</v>
      </c>
      <c r="D47" s="25">
        <f t="shared" si="7"/>
        <v>0</v>
      </c>
      <c r="E47" s="26"/>
      <c r="F47" s="32">
        <v>0.02</v>
      </c>
      <c r="G47" s="5">
        <f t="shared" si="8"/>
        <v>815.01</v>
      </c>
      <c r="H47" s="33">
        <v>99999999.99</v>
      </c>
      <c r="I47" s="25">
        <f t="shared" si="9"/>
        <v>99999184.99</v>
      </c>
    </row>
    <row r="48" ht="12">
      <c r="E48" s="26"/>
    </row>
    <row r="49" spans="2:5" ht="12">
      <c r="B49" s="28" t="s">
        <v>46</v>
      </c>
      <c r="C49" s="25">
        <f>SUM(C45:C47)</f>
        <v>50.6307692307692</v>
      </c>
      <c r="E49" s="26"/>
    </row>
    <row r="50" spans="2:5" ht="12.75">
      <c r="B50" s="37" t="s">
        <v>47</v>
      </c>
      <c r="C50" s="19">
        <f>IF(C10&gt;=G42,C49*52,0)</f>
        <v>0</v>
      </c>
      <c r="E50" s="26"/>
    </row>
    <row r="51" spans="2:5" ht="12">
      <c r="B51" s="29" t="s">
        <v>48</v>
      </c>
      <c r="C51" s="38">
        <f>(C49*52)-C50</f>
        <v>2632.8</v>
      </c>
      <c r="E51" s="26"/>
    </row>
    <row r="52" ht="12">
      <c r="E52" s="26"/>
    </row>
    <row r="53" spans="1:9" ht="16.5">
      <c r="A53" s="39"/>
      <c r="B53" s="40" t="s">
        <v>49</v>
      </c>
      <c r="C53" s="39"/>
      <c r="D53" s="39"/>
      <c r="E53" s="39"/>
      <c r="F53" s="39"/>
      <c r="G53" s="39"/>
      <c r="H53" s="39"/>
      <c r="I53" s="39"/>
    </row>
    <row r="54" ht="12">
      <c r="E54" s="26"/>
    </row>
    <row r="55" spans="2:7" ht="12.75">
      <c r="B55" t="s">
        <v>50</v>
      </c>
      <c r="C55" s="5">
        <f>IF(C3-G55&lt;0,0,C3-G55)</f>
        <v>12665</v>
      </c>
      <c r="E55" s="26"/>
      <c r="F55" t="s">
        <v>51</v>
      </c>
      <c r="G55" s="33">
        <v>17335</v>
      </c>
    </row>
    <row r="56" spans="2:7" ht="12">
      <c r="B56" t="s">
        <v>52</v>
      </c>
      <c r="C56" s="5">
        <f>FLOOR(C55*G56,1)</f>
        <v>1139</v>
      </c>
      <c r="E56" s="26"/>
      <c r="F56" t="s">
        <v>53</v>
      </c>
      <c r="G56" s="32">
        <v>0.09</v>
      </c>
    </row>
    <row r="57" ht="12">
      <c r="E57" s="26"/>
    </row>
    <row r="58" spans="2:8" ht="12">
      <c r="B58" s="15" t="s">
        <v>54</v>
      </c>
      <c r="C58" s="15"/>
      <c r="D58" s="15"/>
      <c r="E58" s="15"/>
      <c r="F58" s="15"/>
      <c r="G58" s="15"/>
      <c r="H58" s="15"/>
    </row>
    <row r="59" spans="2:8" ht="12">
      <c r="B59" s="15" t="s">
        <v>55</v>
      </c>
      <c r="C59" s="15"/>
      <c r="D59" s="15"/>
      <c r="E59" s="15"/>
      <c r="F59" s="15"/>
      <c r="G59" s="15"/>
      <c r="H59" s="15"/>
    </row>
    <row r="61" spans="2:8" ht="42.75" customHeight="1">
      <c r="B61" s="41" t="s">
        <v>56</v>
      </c>
      <c r="C61" s="41"/>
      <c r="D61" s="41"/>
      <c r="E61" s="41"/>
      <c r="F61" s="41"/>
      <c r="G61" s="41"/>
      <c r="H61" s="41"/>
    </row>
    <row r="63" spans="2:8" ht="12">
      <c r="B63" s="42" t="s">
        <v>57</v>
      </c>
      <c r="C63" s="42"/>
      <c r="D63" s="42"/>
      <c r="E63" s="42"/>
      <c r="F63" s="42"/>
      <c r="G63" s="42"/>
      <c r="H63" s="42"/>
    </row>
    <row r="64" spans="2:8" ht="12">
      <c r="B64" s="43">
        <f>"1) Enter gross annual income in C3."</f>
        <v>0</v>
      </c>
      <c r="C64" s="43"/>
      <c r="D64" s="43"/>
      <c r="E64" s="43"/>
      <c r="F64" s="43"/>
      <c r="G64" s="43"/>
      <c r="H64" s="43"/>
    </row>
    <row r="65" spans="2:8" ht="12">
      <c r="B65" s="44" t="s">
        <v>58</v>
      </c>
      <c r="C65" s="44"/>
      <c r="D65" s="44"/>
      <c r="E65" s="44"/>
      <c r="F65" s="44"/>
      <c r="G65" s="44"/>
      <c r="H65" s="44"/>
    </row>
    <row r="66" spans="2:8" ht="12">
      <c r="B66" s="44">
        <f>"3) PAYE Tax, NI and student loan contributions are calculated automatically for the tax year "&amp;C1&amp;"."</f>
        <v>0</v>
      </c>
      <c r="C66" s="44"/>
      <c r="D66" s="44"/>
      <c r="E66" s="44"/>
      <c r="F66" s="44"/>
      <c r="G66" s="44"/>
      <c r="H66" s="44"/>
    </row>
    <row r="67" spans="2:8" ht="12">
      <c r="B67" s="43" t="s">
        <v>59</v>
      </c>
      <c r="C67" s="43"/>
      <c r="D67" s="43"/>
      <c r="E67" s="43"/>
      <c r="F67" s="43"/>
      <c r="G67" s="43"/>
      <c r="H67" s="43"/>
    </row>
    <row r="68" spans="2:8" ht="12">
      <c r="B68" s="43" t="s">
        <v>60</v>
      </c>
      <c r="C68" s="43"/>
      <c r="D68" s="43"/>
      <c r="E68" s="43"/>
      <c r="F68" s="43"/>
      <c r="G68" s="43"/>
      <c r="H68" s="43"/>
    </row>
  </sheetData>
  <sheetProtection sheet="1"/>
  <mergeCells count="10">
    <mergeCell ref="F3:G3"/>
    <mergeCell ref="F4:G4"/>
    <mergeCell ref="B58:H58"/>
    <mergeCell ref="B59:H59"/>
    <mergeCell ref="B60:H60"/>
    <mergeCell ref="B61:H61"/>
    <mergeCell ref="B63:H63"/>
    <mergeCell ref="B64:H64"/>
    <mergeCell ref="B67:H67"/>
    <mergeCell ref="B68:H68"/>
  </mergeCells>
  <hyperlinks>
    <hyperlink ref="F7" r:id="rId1" display="http://paulbanks.org/donate/"/>
    <hyperlink ref="B59" r:id="rId2" display="http://creativecommons.org/licenses/by-nc-sa/2.0/uk/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</dc:creator>
  <cp:keywords/>
  <dc:description/>
  <cp:lastModifiedBy>Paul </cp:lastModifiedBy>
  <dcterms:created xsi:type="dcterms:W3CDTF">2011-10-30T10:16:54Z</dcterms:created>
  <dcterms:modified xsi:type="dcterms:W3CDTF">2015-02-13T22:55:53Z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